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8370" tabRatio="920" activeTab="5"/>
  </bookViews>
  <sheets>
    <sheet name="BIOLOGÍA" sheetId="1" r:id="rId1"/>
    <sheet name="FÍSICA" sheetId="2" r:id="rId2"/>
    <sheet name="QUÍMICA" sheetId="3" r:id="rId3"/>
    <sheet name="BIOESTADISTICA" sheetId="4" r:id="rId4"/>
    <sheet name="CIENCIAS CLÍNICAS I" sheetId="5" r:id="rId5"/>
    <sheet name="CONDUCTA COLECTIVA" sheetId="6" r:id="rId6"/>
    <sheet name="CONDUCTA INDIVIDUAL" sheetId="7" r:id="rId7"/>
  </sheets>
  <externalReferences>
    <externalReference r:id="rId8"/>
  </externalReferences>
  <calcPr calcId="124519"/>
</workbook>
</file>

<file path=xl/calcChain.xml><?xml version="1.0" encoding="utf-8"?>
<calcChain xmlns="http://schemas.openxmlformats.org/spreadsheetml/2006/main">
  <c r="H288" i="6"/>
  <c r="L142" i="4"/>
  <c r="L128"/>
  <c r="L320" i="2"/>
  <c r="L404" i="3" l="1"/>
  <c r="L131"/>
  <c r="L130"/>
  <c r="L369" i="4" l="1"/>
  <c r="L144"/>
  <c r="L121"/>
  <c r="L110"/>
  <c r="L105"/>
  <c r="L385"/>
  <c r="L362"/>
  <c r="L199"/>
  <c r="L145"/>
  <c r="L125"/>
  <c r="L114"/>
  <c r="L297" l="1"/>
  <c r="J297"/>
  <c r="L460" i="2"/>
  <c r="L75"/>
  <c r="L213"/>
  <c r="L272"/>
  <c r="L470" i="6"/>
  <c r="L316"/>
  <c r="L303"/>
  <c r="L34"/>
  <c r="L442"/>
  <c r="L43"/>
  <c r="L453"/>
  <c r="H386" i="2"/>
  <c r="H15"/>
  <c r="L53" i="4"/>
  <c r="L48" i="6"/>
  <c r="L468" i="4"/>
  <c r="L276"/>
  <c r="L477"/>
  <c r="L497"/>
  <c r="L425" i="7"/>
  <c r="J425"/>
  <c r="L147" i="3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46"/>
  <c r="L144"/>
  <c r="L143"/>
  <c r="L141"/>
  <c r="L140"/>
  <c r="L128"/>
  <c r="L129"/>
  <c r="L132"/>
  <c r="L133"/>
  <c r="L134"/>
  <c r="L135"/>
  <c r="L136"/>
  <c r="L137"/>
  <c r="L138"/>
  <c r="L127"/>
  <c r="L120"/>
  <c r="L121"/>
  <c r="L122"/>
  <c r="L123"/>
  <c r="L124"/>
  <c r="L125"/>
  <c r="L119"/>
  <c r="L114"/>
  <c r="L112"/>
  <c r="L111"/>
  <c r="L109"/>
  <c r="L106"/>
  <c r="L104"/>
  <c r="L101"/>
  <c r="L102"/>
  <c r="L100"/>
  <c r="L124" i="1" l="1"/>
  <c r="L473" i="6" l="1"/>
  <c r="L474"/>
  <c r="L475"/>
  <c r="L476"/>
  <c r="L472"/>
  <c r="L468"/>
  <c r="L469"/>
  <c r="L467"/>
  <c r="L464"/>
  <c r="L465"/>
  <c r="L463"/>
  <c r="L458"/>
  <c r="L459"/>
  <c r="L460"/>
  <c r="L461"/>
  <c r="L457"/>
  <c r="L455"/>
  <c r="L452"/>
  <c r="L451"/>
  <c r="L445"/>
  <c r="L444"/>
  <c r="L436"/>
  <c r="L437"/>
  <c r="L438"/>
  <c r="L439"/>
  <c r="L440"/>
  <c r="L435"/>
  <c r="L317"/>
  <c r="L315"/>
  <c r="L312"/>
  <c r="L313"/>
  <c r="L311"/>
  <c r="L308"/>
  <c r="L309"/>
  <c r="L307"/>
  <c r="L305"/>
  <c r="L302"/>
  <c r="L301"/>
  <c r="L299"/>
  <c r="L297"/>
  <c r="L296"/>
  <c r="L292"/>
  <c r="L291"/>
  <c r="L289"/>
  <c r="L270"/>
  <c r="L278"/>
  <c r="L273"/>
  <c r="L274"/>
  <c r="L275"/>
  <c r="L268"/>
  <c r="L267"/>
  <c r="L265"/>
  <c r="L57"/>
  <c r="L55"/>
  <c r="L54"/>
  <c r="L52"/>
  <c r="L47"/>
  <c r="L49"/>
  <c r="L50"/>
  <c r="L46"/>
  <c r="L42"/>
  <c r="L41"/>
  <c r="L38"/>
  <c r="L39"/>
  <c r="L37"/>
  <c r="L33"/>
  <c r="L32"/>
  <c r="L30"/>
  <c r="L24"/>
  <c r="L25"/>
  <c r="L26"/>
  <c r="L23"/>
  <c r="L20"/>
  <c r="L21"/>
  <c r="L19"/>
  <c r="L16"/>
  <c r="L17"/>
  <c r="L15"/>
  <c r="J13"/>
  <c r="L22" i="2" l="1"/>
  <c r="L97" i="7"/>
  <c r="L191" i="6"/>
  <c r="L282" i="7"/>
  <c r="L281"/>
  <c r="L273"/>
  <c r="L265"/>
  <c r="L54"/>
  <c r="L15"/>
  <c r="J226" i="4"/>
  <c r="L226" s="1"/>
  <c r="J139"/>
  <c r="J140"/>
  <c r="L140" s="1"/>
  <c r="L139"/>
  <c r="L490" i="2"/>
  <c r="L489"/>
  <c r="L488"/>
  <c r="L487"/>
  <c r="L486"/>
  <c r="L485"/>
  <c r="J292" i="4"/>
  <c r="L484" i="2"/>
  <c r="L481"/>
  <c r="L482"/>
  <c r="L480"/>
  <c r="L473"/>
  <c r="L474"/>
  <c r="L475"/>
  <c r="L476"/>
  <c r="L477"/>
  <c r="L478"/>
  <c r="L472"/>
  <c r="L470"/>
  <c r="L468"/>
  <c r="L466"/>
  <c r="L463"/>
  <c r="L464"/>
  <c r="L465"/>
  <c r="L462"/>
  <c r="L459"/>
  <c r="L457"/>
  <c r="L456"/>
  <c r="L454"/>
  <c r="L449"/>
  <c r="L450"/>
  <c r="L451"/>
  <c r="L452"/>
  <c r="L448"/>
  <c r="L441"/>
  <c r="L442"/>
  <c r="L443"/>
  <c r="L444"/>
  <c r="L440"/>
  <c r="L434"/>
  <c r="L435"/>
  <c r="L436"/>
  <c r="L437"/>
  <c r="L433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L402"/>
  <c r="L403"/>
  <c r="L404"/>
  <c r="L401"/>
  <c r="L399"/>
  <c r="L397"/>
  <c r="L396"/>
  <c r="L388"/>
  <c r="L389"/>
  <c r="L390"/>
  <c r="L391"/>
  <c r="L392"/>
  <c r="L393"/>
  <c r="L394"/>
  <c r="L387"/>
  <c r="L385"/>
  <c r="L384"/>
  <c r="L375"/>
  <c r="L376"/>
  <c r="L377"/>
  <c r="L378"/>
  <c r="L379"/>
  <c r="L380"/>
  <c r="L381"/>
  <c r="L382"/>
  <c r="L374"/>
  <c r="L368"/>
  <c r="L369"/>
  <c r="L367"/>
  <c r="L364"/>
  <c r="L363"/>
  <c r="L359"/>
  <c r="L352"/>
  <c r="L353"/>
  <c r="L354"/>
  <c r="L355"/>
  <c r="L356"/>
  <c r="L351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67"/>
  <c r="I349"/>
  <c r="L326"/>
  <c r="L327"/>
  <c r="L325"/>
  <c r="L309"/>
  <c r="L310"/>
  <c r="L311"/>
  <c r="L312"/>
  <c r="L313"/>
  <c r="L314"/>
  <c r="L315"/>
  <c r="L316"/>
  <c r="L317"/>
  <c r="L318"/>
  <c r="L319"/>
  <c r="L321"/>
  <c r="L322"/>
  <c r="L323"/>
  <c r="L308"/>
  <c r="L306"/>
  <c r="L304"/>
  <c r="L302"/>
  <c r="L301"/>
  <c r="L292"/>
  <c r="L288"/>
  <c r="L280"/>
  <c r="L281"/>
  <c r="L282"/>
  <c r="L283"/>
  <c r="L284"/>
  <c r="L285"/>
  <c r="L279"/>
  <c r="L273"/>
  <c r="L274"/>
  <c r="L275"/>
  <c r="L276"/>
  <c r="L277"/>
  <c r="L271"/>
  <c r="L266"/>
  <c r="L267"/>
  <c r="L268"/>
  <c r="L265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1"/>
  <c r="I270"/>
  <c r="I269"/>
  <c r="I268"/>
  <c r="I267"/>
  <c r="I266"/>
  <c r="I265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16"/>
  <c r="L209"/>
  <c r="L210"/>
  <c r="L211"/>
  <c r="L212"/>
  <c r="L208"/>
  <c r="L198"/>
  <c r="L199"/>
  <c r="L200"/>
  <c r="L201"/>
  <c r="L202"/>
  <c r="L203"/>
  <c r="L204"/>
  <c r="L205"/>
  <c r="L206"/>
  <c r="L197"/>
  <c r="L194"/>
  <c r="L191"/>
  <c r="L190"/>
  <c r="L188"/>
  <c r="L187"/>
  <c r="L182"/>
  <c r="L183"/>
  <c r="L181"/>
  <c r="I238"/>
  <c r="I237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L154"/>
  <c r="L155"/>
  <c r="L156"/>
  <c r="L157"/>
  <c r="L158"/>
  <c r="L159"/>
  <c r="L160"/>
  <c r="L161"/>
  <c r="L162"/>
  <c r="L153"/>
  <c r="L145"/>
  <c r="L146"/>
  <c r="L147"/>
  <c r="L148"/>
  <c r="L149"/>
  <c r="L150"/>
  <c r="L151"/>
  <c r="L144"/>
  <c r="L142"/>
  <c r="L141"/>
  <c r="L139"/>
  <c r="L138"/>
  <c r="L131"/>
  <c r="L132"/>
  <c r="L133"/>
  <c r="L134"/>
  <c r="L135"/>
  <c r="L136"/>
  <c r="L130"/>
  <c r="L126"/>
  <c r="L127"/>
  <c r="L125"/>
  <c r="L118"/>
  <c r="L119"/>
  <c r="L120"/>
  <c r="L121"/>
  <c r="L122"/>
  <c r="L123"/>
  <c r="L117"/>
  <c r="L110"/>
  <c r="L107"/>
  <c r="L104"/>
  <c r="L100"/>
  <c r="L101"/>
  <c r="L102"/>
  <c r="L99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L72"/>
  <c r="L73"/>
  <c r="L74"/>
  <c r="L76"/>
  <c r="L71"/>
  <c r="L64"/>
  <c r="L65"/>
  <c r="L66"/>
  <c r="L67"/>
  <c r="L68"/>
  <c r="L69"/>
  <c r="L63"/>
  <c r="L61"/>
  <c r="L60"/>
  <c r="L57"/>
  <c r="L58"/>
  <c r="L56"/>
  <c r="L52"/>
  <c r="L53"/>
  <c r="L51"/>
  <c r="L48"/>
  <c r="L49"/>
  <c r="L47"/>
  <c r="L41"/>
  <c r="L42"/>
  <c r="L43"/>
  <c r="L44"/>
  <c r="L45"/>
  <c r="L40"/>
  <c r="L38"/>
  <c r="L35"/>
  <c r="L36"/>
  <c r="L34"/>
  <c r="L30"/>
  <c r="L29"/>
  <c r="L27"/>
  <c r="L23"/>
  <c r="L20"/>
  <c r="L16"/>
  <c r="L13"/>
  <c r="L418" i="7"/>
  <c r="L171"/>
  <c r="L169"/>
  <c r="L350"/>
  <c r="I76" i="2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3"/>
  <c r="I22"/>
  <c r="I21"/>
  <c r="I19"/>
  <c r="I18"/>
  <c r="I17"/>
  <c r="L236" i="5"/>
  <c r="L237"/>
  <c r="L238"/>
  <c r="L235"/>
  <c r="L233"/>
  <c r="L230"/>
  <c r="L229"/>
  <c r="L224"/>
  <c r="L225"/>
  <c r="L223"/>
  <c r="L221"/>
  <c r="L218"/>
  <c r="L219"/>
  <c r="L217"/>
  <c r="L209"/>
  <c r="L210"/>
  <c r="L211"/>
  <c r="L212"/>
  <c r="L208"/>
  <c r="L205"/>
  <c r="L206"/>
  <c r="L204"/>
  <c r="L200"/>
  <c r="L201"/>
  <c r="L202"/>
  <c r="L199"/>
  <c r="L194"/>
  <c r="L191"/>
  <c r="L190"/>
  <c r="L188"/>
  <c r="L187"/>
  <c r="L183"/>
  <c r="L151"/>
  <c r="L149"/>
  <c r="L148"/>
  <c r="L145"/>
  <c r="L143"/>
  <c r="L136"/>
  <c r="L137"/>
  <c r="L138"/>
  <c r="L139"/>
  <c r="L135"/>
  <c r="L132"/>
  <c r="L130"/>
  <c r="L129"/>
  <c r="L123"/>
  <c r="L124"/>
  <c r="L125"/>
  <c r="L122"/>
  <c r="L117"/>
  <c r="L113"/>
  <c r="L109"/>
  <c r="L110"/>
  <c r="L111"/>
  <c r="L108"/>
  <c r="L106"/>
  <c r="L104"/>
  <c r="L101"/>
  <c r="L102"/>
  <c r="L100"/>
  <c r="L98"/>
  <c r="L97"/>
  <c r="L390" i="6" l="1"/>
  <c r="L391"/>
  <c r="L389"/>
  <c r="L376"/>
  <c r="L377"/>
  <c r="L378"/>
  <c r="L379"/>
  <c r="L380"/>
  <c r="L381"/>
  <c r="L382"/>
  <c r="L375"/>
  <c r="L372"/>
  <c r="L367"/>
  <c r="L368"/>
  <c r="L369"/>
  <c r="L370"/>
  <c r="L366"/>
  <c r="L364"/>
  <c r="L359"/>
  <c r="L357"/>
  <c r="L354"/>
  <c r="L352"/>
  <c r="L350"/>
  <c r="L230"/>
  <c r="L229"/>
  <c r="L225"/>
  <c r="L223"/>
  <c r="L219"/>
  <c r="L217"/>
  <c r="L216"/>
  <c r="L212"/>
  <c r="L211"/>
  <c r="L206"/>
  <c r="L205"/>
  <c r="L203"/>
  <c r="L202"/>
  <c r="L196"/>
  <c r="L195"/>
  <c r="L194"/>
  <c r="L193"/>
  <c r="L188"/>
  <c r="L186"/>
  <c r="L183"/>
  <c r="L181"/>
  <c r="L146"/>
  <c r="L144"/>
  <c r="L143"/>
  <c r="L140"/>
  <c r="L138"/>
  <c r="L133"/>
  <c r="L134"/>
  <c r="L132"/>
  <c r="L130"/>
  <c r="L129"/>
  <c r="L123"/>
  <c r="L119"/>
  <c r="L116"/>
  <c r="L111"/>
  <c r="L104"/>
  <c r="L105"/>
  <c r="L103"/>
  <c r="L98"/>
  <c r="L99"/>
  <c r="L97"/>
  <c r="L405" i="3"/>
  <c r="L406"/>
  <c r="L407"/>
  <c r="L408"/>
  <c r="L403"/>
  <c r="L392"/>
  <c r="L393"/>
  <c r="L394"/>
  <c r="L395"/>
  <c r="L396"/>
  <c r="L397"/>
  <c r="L398"/>
  <c r="L399"/>
  <c r="L400"/>
  <c r="L401"/>
  <c r="L391"/>
  <c r="L380"/>
  <c r="L381"/>
  <c r="L382"/>
  <c r="L383"/>
  <c r="L384"/>
  <c r="L385"/>
  <c r="L386"/>
  <c r="L387"/>
  <c r="L388"/>
  <c r="L389"/>
  <c r="L379"/>
  <c r="L377"/>
  <c r="L371"/>
  <c r="L372"/>
  <c r="L373"/>
  <c r="L370"/>
  <c r="L368"/>
  <c r="L367"/>
  <c r="L363"/>
  <c r="L356"/>
  <c r="L357"/>
  <c r="L358"/>
  <c r="L359"/>
  <c r="L360"/>
  <c r="L361"/>
  <c r="L355"/>
  <c r="L72"/>
  <c r="L66"/>
  <c r="L67"/>
  <c r="L68"/>
  <c r="L69"/>
  <c r="L70"/>
  <c r="L65"/>
  <c r="L57"/>
  <c r="L58"/>
  <c r="L59"/>
  <c r="L60"/>
  <c r="L61"/>
  <c r="L62"/>
  <c r="L63"/>
  <c r="L56"/>
  <c r="L53"/>
  <c r="L54"/>
  <c r="L52"/>
  <c r="L44"/>
  <c r="L45"/>
  <c r="L46"/>
  <c r="L47"/>
  <c r="L48"/>
  <c r="L49"/>
  <c r="L50"/>
  <c r="L43"/>
  <c r="L36"/>
  <c r="L37"/>
  <c r="L38"/>
  <c r="L39"/>
  <c r="L40"/>
  <c r="L35"/>
  <c r="L32"/>
  <c r="L33"/>
  <c r="L31"/>
  <c r="L29"/>
  <c r="L27"/>
  <c r="L25"/>
  <c r="L23"/>
  <c r="L18"/>
  <c r="L17"/>
  <c r="L15"/>
  <c r="L301" i="7"/>
  <c r="L299"/>
  <c r="L296"/>
  <c r="L297"/>
  <c r="L295"/>
  <c r="L290"/>
  <c r="L291"/>
  <c r="L292"/>
  <c r="L293"/>
  <c r="L289"/>
  <c r="L285"/>
  <c r="L280"/>
  <c r="L276"/>
  <c r="L275"/>
  <c r="L266"/>
  <c r="L262"/>
  <c r="L261"/>
  <c r="L252"/>
  <c r="L253"/>
  <c r="L254"/>
  <c r="L255"/>
  <c r="L256"/>
  <c r="L257"/>
  <c r="L258"/>
  <c r="L251"/>
  <c r="L248"/>
  <c r="L249"/>
  <c r="L247"/>
  <c r="L60"/>
  <c r="L58"/>
  <c r="L57"/>
  <c r="L45"/>
  <c r="L47"/>
  <c r="L48"/>
  <c r="L49"/>
  <c r="L50"/>
  <c r="L51"/>
  <c r="L52"/>
  <c r="L53"/>
  <c r="L55"/>
  <c r="L44"/>
  <c r="L41"/>
  <c r="L42"/>
  <c r="L40"/>
  <c r="L36"/>
  <c r="L35"/>
  <c r="L33"/>
  <c r="L31"/>
  <c r="L23"/>
  <c r="L24"/>
  <c r="L25"/>
  <c r="L26"/>
  <c r="L27"/>
  <c r="L28"/>
  <c r="L29"/>
  <c r="L22"/>
  <c r="L14"/>
  <c r="L16"/>
  <c r="L17"/>
  <c r="L18"/>
  <c r="L19"/>
  <c r="L20"/>
  <c r="L13"/>
  <c r="L445"/>
  <c r="L446"/>
  <c r="L447"/>
  <c r="L448"/>
  <c r="L449"/>
  <c r="L444" l="1"/>
  <c r="L436"/>
  <c r="L438"/>
  <c r="L439"/>
  <c r="L440"/>
  <c r="L441"/>
  <c r="L442"/>
  <c r="L435"/>
  <c r="L428"/>
  <c r="L429"/>
  <c r="L430"/>
  <c r="L431"/>
  <c r="L432"/>
  <c r="L433"/>
  <c r="L427"/>
  <c r="L424"/>
  <c r="L423"/>
  <c r="L416"/>
  <c r="L415"/>
  <c r="L410"/>
  <c r="L411"/>
  <c r="L412"/>
  <c r="L413"/>
  <c r="L409"/>
  <c r="L404"/>
  <c r="L405"/>
  <c r="L406"/>
  <c r="L403"/>
  <c r="L366"/>
  <c r="L367"/>
  <c r="L365"/>
  <c r="L363"/>
  <c r="L340"/>
  <c r="L341"/>
  <c r="L342"/>
  <c r="L343"/>
  <c r="L344"/>
  <c r="L345"/>
  <c r="L346"/>
  <c r="L348"/>
  <c r="L349"/>
  <c r="L351"/>
  <c r="L352"/>
  <c r="L353"/>
  <c r="L354"/>
  <c r="L355"/>
  <c r="L356"/>
  <c r="L357"/>
  <c r="L358"/>
  <c r="L359"/>
  <c r="L360"/>
  <c r="L361"/>
  <c r="L339"/>
  <c r="L326"/>
  <c r="L327"/>
  <c r="L328"/>
  <c r="L329"/>
  <c r="L330"/>
  <c r="L331"/>
  <c r="L332"/>
  <c r="L333"/>
  <c r="L334"/>
  <c r="L335"/>
  <c r="L336"/>
  <c r="L325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01"/>
  <c r="L199"/>
  <c r="L193"/>
  <c r="L194"/>
  <c r="L195"/>
  <c r="L196"/>
  <c r="L192"/>
  <c r="L177"/>
  <c r="L178"/>
  <c r="L179"/>
  <c r="L180"/>
  <c r="L181"/>
  <c r="L182"/>
  <c r="L183"/>
  <c r="L184"/>
  <c r="L185"/>
  <c r="L186"/>
  <c r="L187"/>
  <c r="L188"/>
  <c r="L189"/>
  <c r="L190"/>
  <c r="L176"/>
  <c r="L170"/>
  <c r="L172"/>
  <c r="L173"/>
  <c r="L174"/>
  <c r="L142"/>
  <c r="L140"/>
  <c r="L139"/>
  <c r="L136"/>
  <c r="L134"/>
  <c r="L132"/>
  <c r="L126"/>
  <c r="L127"/>
  <c r="L128"/>
  <c r="L129"/>
  <c r="L130"/>
  <c r="L125"/>
  <c r="L120"/>
  <c r="L119"/>
  <c r="L113"/>
  <c r="L114"/>
  <c r="L115"/>
  <c r="L116"/>
  <c r="L117"/>
  <c r="L112"/>
  <c r="L107"/>
  <c r="L98"/>
  <c r="L99"/>
  <c r="L100"/>
  <c r="L101"/>
  <c r="L92"/>
  <c r="L93"/>
  <c r="L94"/>
  <c r="L95"/>
  <c r="L91"/>
  <c r="L332" i="1"/>
  <c r="L333"/>
  <c r="L334"/>
  <c r="L335"/>
  <c r="L337"/>
  <c r="L331"/>
  <c r="L317"/>
  <c r="L318"/>
  <c r="L319"/>
  <c r="L320"/>
  <c r="L321"/>
  <c r="L322"/>
  <c r="L323"/>
  <c r="L324"/>
  <c r="L325"/>
  <c r="L326"/>
  <c r="L327"/>
  <c r="L328"/>
  <c r="L329"/>
  <c r="L316"/>
  <c r="L314"/>
  <c r="L312"/>
  <c r="L311"/>
  <c r="L309"/>
  <c r="L306"/>
  <c r="L302"/>
  <c r="L300"/>
  <c r="L298"/>
  <c r="L297"/>
  <c r="L295"/>
  <c r="L291"/>
  <c r="L292"/>
  <c r="L293"/>
  <c r="L290"/>
  <c r="L288"/>
  <c r="L282"/>
  <c r="L283"/>
  <c r="L284"/>
  <c r="L281"/>
  <c r="L279"/>
  <c r="L276"/>
  <c r="L272"/>
  <c r="L273"/>
  <c r="L274"/>
  <c r="L271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484"/>
  <c r="L481"/>
  <c r="L482"/>
  <c r="L480"/>
  <c r="L478"/>
  <c r="L473"/>
  <c r="L474"/>
  <c r="L472"/>
  <c r="L470"/>
  <c r="L469"/>
  <c r="L463"/>
  <c r="L464"/>
  <c r="L465"/>
  <c r="L466"/>
  <c r="L467"/>
  <c r="L462"/>
  <c r="L455"/>
  <c r="L456"/>
  <c r="L457"/>
  <c r="L458"/>
  <c r="L454"/>
  <c r="L450"/>
  <c r="L449"/>
  <c r="L445"/>
  <c r="L446"/>
  <c r="L447"/>
  <c r="L444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25"/>
  <c r="L219"/>
  <c r="L220"/>
  <c r="L221"/>
  <c r="L222"/>
  <c r="L218"/>
  <c r="L205"/>
  <c r="L206"/>
  <c r="L207"/>
  <c r="L208"/>
  <c r="L209"/>
  <c r="L210"/>
  <c r="L211"/>
  <c r="L212"/>
  <c r="L213"/>
  <c r="L214"/>
  <c r="L215"/>
  <c r="L216"/>
  <c r="L204"/>
  <c r="L202"/>
  <c r="L200"/>
  <c r="L199"/>
  <c r="L196"/>
  <c r="L195"/>
  <c r="L191"/>
  <c r="L189"/>
  <c r="L186"/>
  <c r="L156"/>
  <c r="L157"/>
  <c r="L158"/>
  <c r="L159"/>
  <c r="L160"/>
  <c r="L161"/>
  <c r="L162"/>
  <c r="L163"/>
  <c r="L155"/>
  <c r="L148"/>
  <c r="L149"/>
  <c r="L150"/>
  <c r="L151"/>
  <c r="L152"/>
  <c r="L153"/>
  <c r="L147"/>
  <c r="L145"/>
  <c r="L144"/>
  <c r="L135"/>
  <c r="L136"/>
  <c r="L137"/>
  <c r="L138"/>
  <c r="L139"/>
  <c r="L140"/>
  <c r="L141"/>
  <c r="L142"/>
  <c r="L134"/>
  <c r="L120"/>
  <c r="L121"/>
  <c r="L122"/>
  <c r="L123"/>
  <c r="L125"/>
  <c r="L126"/>
  <c r="L127"/>
  <c r="L128"/>
  <c r="L129"/>
  <c r="L119"/>
  <c r="L115"/>
  <c r="L113"/>
  <c r="L112"/>
  <c r="L110"/>
  <c r="L107"/>
  <c r="L105"/>
  <c r="L101"/>
  <c r="L102"/>
  <c r="L103"/>
  <c r="L414"/>
  <c r="L415"/>
  <c r="L416"/>
  <c r="L413"/>
  <c r="L411"/>
  <c r="L400"/>
  <c r="L401"/>
  <c r="L402"/>
  <c r="L403"/>
  <c r="L404"/>
  <c r="L405"/>
  <c r="L406"/>
  <c r="L407"/>
  <c r="L408"/>
  <c r="L409"/>
  <c r="L399"/>
  <c r="L388"/>
  <c r="L389"/>
  <c r="L390"/>
  <c r="L391"/>
  <c r="L392"/>
  <c r="L393"/>
  <c r="L394"/>
  <c r="L395"/>
  <c r="L396"/>
  <c r="L397"/>
  <c r="L387"/>
  <c r="L385"/>
  <c r="L380"/>
  <c r="L381"/>
  <c r="L379"/>
  <c r="L376"/>
  <c r="L377"/>
  <c r="L375"/>
  <c r="L370"/>
  <c r="L368"/>
  <c r="L362"/>
  <c r="L363"/>
  <c r="L364"/>
  <c r="L365"/>
  <c r="L366"/>
  <c r="L361"/>
  <c r="L79"/>
  <c r="L73"/>
  <c r="L74"/>
  <c r="L75"/>
  <c r="L76"/>
  <c r="L77"/>
  <c r="L72"/>
  <c r="L68"/>
  <c r="L69"/>
  <c r="L67"/>
  <c r="L64"/>
  <c r="L65"/>
  <c r="L63"/>
  <c r="L60"/>
  <c r="L61"/>
  <c r="L59"/>
  <c r="L51"/>
  <c r="L52"/>
  <c r="L53"/>
  <c r="L54"/>
  <c r="L55"/>
  <c r="L56"/>
  <c r="L57"/>
  <c r="L50"/>
  <c r="L42"/>
  <c r="L43"/>
  <c r="L44"/>
  <c r="L45"/>
  <c r="L46"/>
  <c r="L47"/>
  <c r="L41"/>
  <c r="L38"/>
  <c r="L39"/>
  <c r="L37"/>
  <c r="L35"/>
  <c r="L33"/>
  <c r="L31"/>
  <c r="L29"/>
  <c r="L24"/>
  <c r="L23"/>
  <c r="L17"/>
  <c r="L13"/>
  <c r="G171" i="7"/>
  <c r="G31"/>
  <c r="G20"/>
  <c r="G32"/>
  <c r="G41" i="6"/>
  <c r="G22"/>
  <c r="G278" i="4"/>
  <c r="G27"/>
  <c r="G33"/>
  <c r="G34"/>
  <c r="G377" i="3"/>
  <c r="G447"/>
  <c r="G56"/>
  <c r="G48"/>
  <c r="G37"/>
  <c r="G440" i="2"/>
  <c r="G52"/>
  <c r="G454" i="1"/>
  <c r="G408"/>
  <c r="G283"/>
  <c r="G70"/>
  <c r="G44"/>
  <c r="G50"/>
  <c r="G63" i="3" l="1"/>
  <c r="A405" i="7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J418"/>
  <c r="F482" i="3"/>
  <c r="F490" i="1"/>
  <c r="F386" i="3"/>
  <c r="F370"/>
  <c r="E370" s="1"/>
  <c r="F392"/>
  <c r="F332" i="7"/>
  <c r="F376" i="1"/>
  <c r="F310" i="4"/>
  <c r="F198" i="1"/>
  <c r="F136" i="3"/>
  <c r="F22" i="7"/>
  <c r="F19" i="6"/>
  <c r="F41" i="1"/>
  <c r="F72"/>
  <c r="F43" i="7"/>
  <c r="F40" i="6"/>
  <c r="F62" i="1"/>
  <c r="D304" i="6"/>
  <c r="J304" s="1"/>
  <c r="D227" i="5"/>
  <c r="J317" i="6"/>
  <c r="J441" i="7"/>
  <c r="J427"/>
  <c r="J449"/>
  <c r="J448"/>
  <c r="J447"/>
  <c r="J446"/>
  <c r="J445"/>
  <c r="J444"/>
  <c r="J443"/>
  <c r="L443" s="1"/>
  <c r="J442"/>
  <c r="J440"/>
  <c r="J439"/>
  <c r="J438"/>
  <c r="J437"/>
  <c r="L437" s="1"/>
  <c r="J436"/>
  <c r="J435"/>
  <c r="J434"/>
  <c r="L434" s="1"/>
  <c r="J433"/>
  <c r="J432"/>
  <c r="J431"/>
  <c r="J430"/>
  <c r="J429"/>
  <c r="J428"/>
  <c r="J426"/>
  <c r="L426" s="1"/>
  <c r="J424"/>
  <c r="J423"/>
  <c r="J422"/>
  <c r="L422" s="1"/>
  <c r="J421"/>
  <c r="L421" s="1"/>
  <c r="J420"/>
  <c r="L420" s="1"/>
  <c r="J419"/>
  <c r="L419" s="1"/>
  <c r="J417"/>
  <c r="L417" s="1"/>
  <c r="J416"/>
  <c r="J415"/>
  <c r="J414"/>
  <c r="L414" s="1"/>
  <c r="J413"/>
  <c r="J412"/>
  <c r="J411"/>
  <c r="J410"/>
  <c r="J409"/>
  <c r="J408"/>
  <c r="L408" s="1"/>
  <c r="J407"/>
  <c r="L407" s="1"/>
  <c r="J406"/>
  <c r="J405"/>
  <c r="J404"/>
  <c r="A404"/>
  <c r="J403"/>
  <c r="J366"/>
  <c r="A366"/>
  <c r="A367" s="1"/>
  <c r="A368" s="1"/>
  <c r="J368" l="1"/>
  <c r="L368" s="1"/>
  <c r="J367"/>
  <c r="J365"/>
  <c r="J364"/>
  <c r="L364" s="1"/>
  <c r="J363"/>
  <c r="J362"/>
  <c r="L362" s="1"/>
  <c r="J361"/>
  <c r="J360"/>
  <c r="J359"/>
  <c r="J358"/>
  <c r="J357"/>
  <c r="J356"/>
  <c r="J355"/>
  <c r="J354"/>
  <c r="J353"/>
  <c r="J352"/>
  <c r="J351"/>
  <c r="J350"/>
  <c r="J349"/>
  <c r="J348"/>
  <c r="J347"/>
  <c r="L347" s="1"/>
  <c r="J346"/>
  <c r="J345"/>
  <c r="J344"/>
  <c r="J343"/>
  <c r="J342"/>
  <c r="J341"/>
  <c r="J340"/>
  <c r="J339"/>
  <c r="J338"/>
  <c r="L338" s="1"/>
  <c r="J337"/>
  <c r="L337" s="1"/>
  <c r="J336"/>
  <c r="J335"/>
  <c r="J334"/>
  <c r="J333"/>
  <c r="J332"/>
  <c r="J331"/>
  <c r="J330"/>
  <c r="J329"/>
  <c r="J328"/>
  <c r="J327"/>
  <c r="J326"/>
  <c r="A326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J325"/>
  <c r="J290"/>
  <c r="J288"/>
  <c r="L288" s="1"/>
  <c r="J257"/>
  <c r="J254"/>
  <c r="J251"/>
  <c r="J301"/>
  <c r="J300"/>
  <c r="L300" s="1"/>
  <c r="J299"/>
  <c r="J298"/>
  <c r="L298" s="1"/>
  <c r="J297"/>
  <c r="J296"/>
  <c r="J295"/>
  <c r="J294"/>
  <c r="L294" s="1"/>
  <c r="J293"/>
  <c r="J292"/>
  <c r="J291"/>
  <c r="J289"/>
  <c r="J287"/>
  <c r="L287" s="1"/>
  <c r="J286"/>
  <c r="L286" s="1"/>
  <c r="J285"/>
  <c r="J284"/>
  <c r="L284" s="1"/>
  <c r="J283"/>
  <c r="J282"/>
  <c r="J281"/>
  <c r="J280"/>
  <c r="J279"/>
  <c r="L279" s="1"/>
  <c r="J278"/>
  <c r="L278" s="1"/>
  <c r="J277"/>
  <c r="L277" s="1"/>
  <c r="J276"/>
  <c r="J275"/>
  <c r="J274"/>
  <c r="L274" s="1"/>
  <c r="J273"/>
  <c r="J272"/>
  <c r="L272" s="1"/>
  <c r="J271"/>
  <c r="L271" s="1"/>
  <c r="J270"/>
  <c r="L270" s="1"/>
  <c r="J269"/>
  <c r="L269" s="1"/>
  <c r="J268"/>
  <c r="L268" s="1"/>
  <c r="J267"/>
  <c r="L267" s="1"/>
  <c r="J266"/>
  <c r="J265"/>
  <c r="J264"/>
  <c r="L264" s="1"/>
  <c r="J263"/>
  <c r="L263" s="1"/>
  <c r="J262"/>
  <c r="J261"/>
  <c r="J260"/>
  <c r="L260" s="1"/>
  <c r="J259"/>
  <c r="L259" s="1"/>
  <c r="J258"/>
  <c r="J256"/>
  <c r="J255"/>
  <c r="J253"/>
  <c r="J252"/>
  <c r="J250"/>
  <c r="L250" s="1"/>
  <c r="J249"/>
  <c r="J248"/>
  <c r="A248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J247"/>
  <c r="J185"/>
  <c r="J169"/>
  <c r="J221"/>
  <c r="J222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L200" s="1"/>
  <c r="J199"/>
  <c r="J198"/>
  <c r="L198" s="1"/>
  <c r="J197"/>
  <c r="L197" s="1"/>
  <c r="J196"/>
  <c r="J195"/>
  <c r="J194"/>
  <c r="J193"/>
  <c r="J192"/>
  <c r="J191"/>
  <c r="L191" s="1"/>
  <c r="J190"/>
  <c r="J189"/>
  <c r="J188"/>
  <c r="J187"/>
  <c r="J186"/>
  <c r="J184"/>
  <c r="J183"/>
  <c r="J182"/>
  <c r="J181"/>
  <c r="J180"/>
  <c r="J179"/>
  <c r="J178"/>
  <c r="J177"/>
  <c r="J176"/>
  <c r="J175"/>
  <c r="L175" s="1"/>
  <c r="J174"/>
  <c r="J173"/>
  <c r="J172"/>
  <c r="J171"/>
  <c r="J170"/>
  <c r="A170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J95"/>
  <c r="J137"/>
  <c r="L137" s="1"/>
  <c r="J138"/>
  <c r="L138" s="1"/>
  <c r="J139"/>
  <c r="J140"/>
  <c r="J141"/>
  <c r="L141" s="1"/>
  <c r="J142"/>
  <c r="J143"/>
  <c r="L143" s="1"/>
  <c r="J136"/>
  <c r="J135"/>
  <c r="L135" s="1"/>
  <c r="J134"/>
  <c r="J133"/>
  <c r="L133" s="1"/>
  <c r="J132"/>
  <c r="J131"/>
  <c r="L131" s="1"/>
  <c r="J130"/>
  <c r="J129"/>
  <c r="J128"/>
  <c r="J127"/>
  <c r="J126"/>
  <c r="J125"/>
  <c r="J124"/>
  <c r="L124" s="1"/>
  <c r="J123"/>
  <c r="L123" s="1"/>
  <c r="J122"/>
  <c r="L122" s="1"/>
  <c r="J121"/>
  <c r="L121" s="1"/>
  <c r="J120"/>
  <c r="J119"/>
  <c r="J118"/>
  <c r="L118" s="1"/>
  <c r="J117"/>
  <c r="J116"/>
  <c r="J115"/>
  <c r="J114"/>
  <c r="J113"/>
  <c r="J112"/>
  <c r="J111"/>
  <c r="L111" s="1"/>
  <c r="J110"/>
  <c r="L110" s="1"/>
  <c r="J109"/>
  <c r="L109" s="1"/>
  <c r="J108"/>
  <c r="L108" s="1"/>
  <c r="J107"/>
  <c r="J106"/>
  <c r="L106" s="1"/>
  <c r="J105"/>
  <c r="L105" s="1"/>
  <c r="J104"/>
  <c r="L104" s="1"/>
  <c r="J103"/>
  <c r="L103" s="1"/>
  <c r="J102"/>
  <c r="L102" s="1"/>
  <c r="J101"/>
  <c r="J100"/>
  <c r="J99"/>
  <c r="J98"/>
  <c r="J97"/>
  <c r="J96"/>
  <c r="L96" s="1"/>
  <c r="J94"/>
  <c r="J93"/>
  <c r="J92"/>
  <c r="A92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J91"/>
  <c r="D20"/>
  <c r="J20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J60"/>
  <c r="J59"/>
  <c r="L59" s="1"/>
  <c r="J58"/>
  <c r="J57"/>
  <c r="J56"/>
  <c r="L56" s="1"/>
  <c r="J55"/>
  <c r="J54"/>
  <c r="J53"/>
  <c r="J52"/>
  <c r="J51"/>
  <c r="J50"/>
  <c r="J49"/>
  <c r="J48"/>
  <c r="J47"/>
  <c r="J46"/>
  <c r="J45"/>
  <c r="J44"/>
  <c r="J43"/>
  <c r="L43" s="1"/>
  <c r="J42"/>
  <c r="J41"/>
  <c r="J40"/>
  <c r="J39"/>
  <c r="L39" s="1"/>
  <c r="J38"/>
  <c r="L38" s="1"/>
  <c r="J37"/>
  <c r="L37" s="1"/>
  <c r="J36"/>
  <c r="J35"/>
  <c r="J34"/>
  <c r="L34" s="1"/>
  <c r="J33"/>
  <c r="J32"/>
  <c r="L32" s="1"/>
  <c r="J31"/>
  <c r="J30"/>
  <c r="L30" s="1"/>
  <c r="J29"/>
  <c r="J28"/>
  <c r="J27"/>
  <c r="J26"/>
  <c r="J25"/>
  <c r="J24"/>
  <c r="J23"/>
  <c r="J22"/>
  <c r="J21"/>
  <c r="L21" s="1"/>
  <c r="J19"/>
  <c r="J18"/>
  <c r="J17"/>
  <c r="J16"/>
  <c r="J15"/>
  <c r="J14"/>
  <c r="J13"/>
  <c r="J476" i="6"/>
  <c r="J477"/>
  <c r="L477" s="1"/>
  <c r="J475"/>
  <c r="J474"/>
  <c r="J473"/>
  <c r="J472"/>
  <c r="J471"/>
  <c r="L471" s="1"/>
  <c r="J470"/>
  <c r="J469"/>
  <c r="J468"/>
  <c r="J467"/>
  <c r="J466"/>
  <c r="L466" s="1"/>
  <c r="J465"/>
  <c r="J464"/>
  <c r="J463"/>
  <c r="J462"/>
  <c r="L462" s="1"/>
  <c r="J461"/>
  <c r="J460"/>
  <c r="J459"/>
  <c r="J458"/>
  <c r="J457"/>
  <c r="J456"/>
  <c r="L456" s="1"/>
  <c r="J455"/>
  <c r="J454"/>
  <c r="L454" s="1"/>
  <c r="J453"/>
  <c r="J452"/>
  <c r="J451"/>
  <c r="J450"/>
  <c r="L450" s="1"/>
  <c r="J449"/>
  <c r="L449" s="1"/>
  <c r="J448"/>
  <c r="L448" s="1"/>
  <c r="J447"/>
  <c r="L447" s="1"/>
  <c r="J446"/>
  <c r="L446" s="1"/>
  <c r="J445"/>
  <c r="J444"/>
  <c r="J443"/>
  <c r="L443" s="1"/>
  <c r="J442"/>
  <c r="J441"/>
  <c r="L441" s="1"/>
  <c r="J440"/>
  <c r="J439"/>
  <c r="J438"/>
  <c r="J437"/>
  <c r="J436"/>
  <c r="J435"/>
  <c r="J434"/>
  <c r="L434" s="1"/>
  <c r="J392"/>
  <c r="L392" s="1"/>
  <c r="J391"/>
  <c r="J390"/>
  <c r="J389"/>
  <c r="J388"/>
  <c r="L388" s="1"/>
  <c r="J387"/>
  <c r="L387" s="1"/>
  <c r="J386"/>
  <c r="L386" s="1"/>
  <c r="J385"/>
  <c r="L385" s="1"/>
  <c r="J384"/>
  <c r="L384" s="1"/>
  <c r="J383"/>
  <c r="J382"/>
  <c r="J381"/>
  <c r="J380"/>
  <c r="J379"/>
  <c r="J378"/>
  <c r="J377"/>
  <c r="J376"/>
  <c r="J375"/>
  <c r="J374"/>
  <c r="L374" s="1"/>
  <c r="J373"/>
  <c r="J372"/>
  <c r="J371"/>
  <c r="L371" s="1"/>
  <c r="J370"/>
  <c r="J369"/>
  <c r="J368"/>
  <c r="J367"/>
  <c r="J366"/>
  <c r="J365"/>
  <c r="L365" s="1"/>
  <c r="J364"/>
  <c r="J363"/>
  <c r="L363" s="1"/>
  <c r="J362"/>
  <c r="L362" s="1"/>
  <c r="J361"/>
  <c r="L361" s="1"/>
  <c r="J360"/>
  <c r="L360" s="1"/>
  <c r="J359"/>
  <c r="J358"/>
  <c r="L358" s="1"/>
  <c r="J357"/>
  <c r="J356"/>
  <c r="L356" s="1"/>
  <c r="J355"/>
  <c r="L355" s="1"/>
  <c r="J354"/>
  <c r="J353"/>
  <c r="L353" s="1"/>
  <c r="J352"/>
  <c r="J351"/>
  <c r="L351" s="1"/>
  <c r="J350"/>
  <c r="J316"/>
  <c r="J315"/>
  <c r="J314"/>
  <c r="L314" s="1"/>
  <c r="J313"/>
  <c r="J312"/>
  <c r="J311"/>
  <c r="J310"/>
  <c r="L310" s="1"/>
  <c r="J309"/>
  <c r="J308"/>
  <c r="J307"/>
  <c r="J306"/>
  <c r="L306" s="1"/>
  <c r="J305"/>
  <c r="J303"/>
  <c r="J302"/>
  <c r="J301"/>
  <c r="J300"/>
  <c r="L300" s="1"/>
  <c r="J299"/>
  <c r="J298"/>
  <c r="L298" s="1"/>
  <c r="J297"/>
  <c r="J296"/>
  <c r="J295"/>
  <c r="L295" s="1"/>
  <c r="J294"/>
  <c r="L294" s="1"/>
  <c r="J293"/>
  <c r="L293" s="1"/>
  <c r="J292"/>
  <c r="J291"/>
  <c r="J290"/>
  <c r="L290" s="1"/>
  <c r="J289"/>
  <c r="J288"/>
  <c r="L288" s="1"/>
  <c r="J287"/>
  <c r="L287" s="1"/>
  <c r="J286"/>
  <c r="L286" s="1"/>
  <c r="J285"/>
  <c r="L285" s="1"/>
  <c r="J284"/>
  <c r="L284" s="1"/>
  <c r="J283"/>
  <c r="L283" s="1"/>
  <c r="J282"/>
  <c r="L282" s="1"/>
  <c r="J281"/>
  <c r="L281" s="1"/>
  <c r="J280"/>
  <c r="L280" s="1"/>
  <c r="J279"/>
  <c r="L279" s="1"/>
  <c r="J278"/>
  <c r="J277"/>
  <c r="L277" s="1"/>
  <c r="J276"/>
  <c r="J275"/>
  <c r="J274"/>
  <c r="J273"/>
  <c r="J272"/>
  <c r="L272" s="1"/>
  <c r="J271"/>
  <c r="L271" s="1"/>
  <c r="J270"/>
  <c r="J269"/>
  <c r="L269" s="1"/>
  <c r="J268"/>
  <c r="J267"/>
  <c r="J266"/>
  <c r="L266" s="1"/>
  <c r="J265"/>
  <c r="J230"/>
  <c r="J200"/>
  <c r="L200" s="1"/>
  <c r="J232"/>
  <c r="L232" s="1"/>
  <c r="J231"/>
  <c r="L231" s="1"/>
  <c r="J229"/>
  <c r="J228"/>
  <c r="L228" s="1"/>
  <c r="J227"/>
  <c r="J226"/>
  <c r="L226" s="1"/>
  <c r="J225"/>
  <c r="J224"/>
  <c r="L224" s="1"/>
  <c r="J223"/>
  <c r="J222"/>
  <c r="L222" s="1"/>
  <c r="J221"/>
  <c r="L221" s="1"/>
  <c r="J220"/>
  <c r="L220" s="1"/>
  <c r="J219"/>
  <c r="J218"/>
  <c r="L218" s="1"/>
  <c r="J217"/>
  <c r="J216"/>
  <c r="J215"/>
  <c r="L215" s="1"/>
  <c r="J214"/>
  <c r="J213"/>
  <c r="L213" s="1"/>
  <c r="J212"/>
  <c r="J211"/>
  <c r="J210"/>
  <c r="L210" s="1"/>
  <c r="J209"/>
  <c r="L209" s="1"/>
  <c r="J208"/>
  <c r="L208" s="1"/>
  <c r="J207"/>
  <c r="L207" s="1"/>
  <c r="J206"/>
  <c r="J205"/>
  <c r="J204"/>
  <c r="L204" s="1"/>
  <c r="J203"/>
  <c r="J202"/>
  <c r="J201"/>
  <c r="L201" s="1"/>
  <c r="J199"/>
  <c r="L199" s="1"/>
  <c r="J198"/>
  <c r="L198" s="1"/>
  <c r="J197"/>
  <c r="L197" s="1"/>
  <c r="J196"/>
  <c r="J195"/>
  <c r="J194"/>
  <c r="J193"/>
  <c r="J192"/>
  <c r="L192" s="1"/>
  <c r="J191"/>
  <c r="J190"/>
  <c r="L190" s="1"/>
  <c r="J189"/>
  <c r="L189" s="1"/>
  <c r="J188"/>
  <c r="J187"/>
  <c r="L187" s="1"/>
  <c r="J186"/>
  <c r="J185"/>
  <c r="L185" s="1"/>
  <c r="J184"/>
  <c r="L184" s="1"/>
  <c r="J183"/>
  <c r="J182"/>
  <c r="L182" s="1"/>
  <c r="J181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L118" s="1"/>
  <c r="J119"/>
  <c r="J120"/>
  <c r="L120" s="1"/>
  <c r="J121"/>
  <c r="L121" s="1"/>
  <c r="J122"/>
  <c r="L122" s="1"/>
  <c r="J123"/>
  <c r="J124"/>
  <c r="L124" s="1"/>
  <c r="J125"/>
  <c r="J126"/>
  <c r="L126" s="1"/>
  <c r="J127"/>
  <c r="L127" s="1"/>
  <c r="J128"/>
  <c r="L128" s="1"/>
  <c r="J129"/>
  <c r="J130"/>
  <c r="J131"/>
  <c r="L131" s="1"/>
  <c r="J132"/>
  <c r="J133"/>
  <c r="J134"/>
  <c r="J135"/>
  <c r="L135" s="1"/>
  <c r="J136"/>
  <c r="L136" s="1"/>
  <c r="J137"/>
  <c r="L137" s="1"/>
  <c r="J138"/>
  <c r="J139"/>
  <c r="L139" s="1"/>
  <c r="J140"/>
  <c r="J141"/>
  <c r="L141" s="1"/>
  <c r="J142"/>
  <c r="J143"/>
  <c r="J144"/>
  <c r="J145"/>
  <c r="J146"/>
  <c r="J147"/>
  <c r="J97"/>
  <c r="L147"/>
  <c r="L145"/>
  <c r="L142"/>
  <c r="L125"/>
  <c r="L117"/>
  <c r="L115"/>
  <c r="L114"/>
  <c r="L113"/>
  <c r="L112"/>
  <c r="L110"/>
  <c r="L109"/>
  <c r="L108"/>
  <c r="L107"/>
  <c r="L106"/>
  <c r="L102"/>
  <c r="L101"/>
  <c r="L100"/>
  <c r="J57"/>
  <c r="J56"/>
  <c r="L56" s="1"/>
  <c r="J55"/>
  <c r="J54"/>
  <c r="J53"/>
  <c r="L53" s="1"/>
  <c r="J52"/>
  <c r="J51"/>
  <c r="L51" s="1"/>
  <c r="J50"/>
  <c r="J49"/>
  <c r="J48"/>
  <c r="J47"/>
  <c r="J46"/>
  <c r="J45"/>
  <c r="L45" s="1"/>
  <c r="J44"/>
  <c r="L44" s="1"/>
  <c r="J43"/>
  <c r="J42"/>
  <c r="J41"/>
  <c r="J40"/>
  <c r="L40" s="1"/>
  <c r="J39"/>
  <c r="J38"/>
  <c r="J37"/>
  <c r="J36"/>
  <c r="L36" s="1"/>
  <c r="J35"/>
  <c r="L35" s="1"/>
  <c r="J34"/>
  <c r="J33"/>
  <c r="J32"/>
  <c r="J31"/>
  <c r="L31" s="1"/>
  <c r="J30"/>
  <c r="J29"/>
  <c r="L29" s="1"/>
  <c r="J28"/>
  <c r="L28" s="1"/>
  <c r="J27"/>
  <c r="L27" s="1"/>
  <c r="J26"/>
  <c r="J25"/>
  <c r="J24"/>
  <c r="J23"/>
  <c r="J22"/>
  <c r="L22" s="1"/>
  <c r="J21"/>
  <c r="J20"/>
  <c r="J19"/>
  <c r="J18"/>
  <c r="L18" s="1"/>
  <c r="J17"/>
  <c r="J16"/>
  <c r="J15"/>
  <c r="J14"/>
  <c r="L14" s="1"/>
  <c r="L13"/>
  <c r="J486" i="5"/>
  <c r="L486" s="1"/>
  <c r="J485"/>
  <c r="L485" s="1"/>
  <c r="J484"/>
  <c r="L484" s="1"/>
  <c r="J483"/>
  <c r="J482"/>
  <c r="J481"/>
  <c r="L481" s="1"/>
  <c r="J480"/>
  <c r="L480" s="1"/>
  <c r="J479"/>
  <c r="L479" s="1"/>
  <c r="J478"/>
  <c r="J477"/>
  <c r="L477" s="1"/>
  <c r="J476"/>
  <c r="J475"/>
  <c r="L475" s="1"/>
  <c r="J474"/>
  <c r="L474" s="1"/>
  <c r="J473"/>
  <c r="J472"/>
  <c r="J471"/>
  <c r="L471" s="1"/>
  <c r="J470"/>
  <c r="J469"/>
  <c r="J468"/>
  <c r="L468" s="1"/>
  <c r="J467"/>
  <c r="J466"/>
  <c r="J465"/>
  <c r="L465" s="1"/>
  <c r="J464"/>
  <c r="J463"/>
  <c r="L463" s="1"/>
  <c r="J462"/>
  <c r="L462" s="1"/>
  <c r="J461"/>
  <c r="L461" s="1"/>
  <c r="J460"/>
  <c r="J459"/>
  <c r="L459" s="1"/>
  <c r="J458"/>
  <c r="L458" s="1"/>
  <c r="J457"/>
  <c r="L457" s="1"/>
  <c r="J456"/>
  <c r="L456" s="1"/>
  <c r="J455"/>
  <c r="L455" s="1"/>
  <c r="J454"/>
  <c r="J453"/>
  <c r="L453" s="1"/>
  <c r="J452"/>
  <c r="L452" s="1"/>
  <c r="J451"/>
  <c r="J450"/>
  <c r="L450" s="1"/>
  <c r="J449"/>
  <c r="L449" s="1"/>
  <c r="J448"/>
  <c r="J447"/>
  <c r="J446"/>
  <c r="J445"/>
  <c r="J444"/>
  <c r="L444" s="1"/>
  <c r="J443"/>
  <c r="J442"/>
  <c r="L442" s="1"/>
  <c r="J441"/>
  <c r="J440"/>
  <c r="J439"/>
  <c r="L439" s="1"/>
  <c r="J438"/>
  <c r="L438" s="1"/>
  <c r="J437"/>
  <c r="J436"/>
  <c r="J435"/>
  <c r="J434"/>
  <c r="J433"/>
  <c r="L433" s="1"/>
  <c r="J384"/>
  <c r="L384" s="1"/>
  <c r="J385"/>
  <c r="L385" s="1"/>
  <c r="J368"/>
  <c r="J402"/>
  <c r="L402" s="1"/>
  <c r="J403"/>
  <c r="J401"/>
  <c r="J400"/>
  <c r="J399"/>
  <c r="L399" s="1"/>
  <c r="J398"/>
  <c r="L398" s="1"/>
  <c r="J397"/>
  <c r="L397" s="1"/>
  <c r="J396"/>
  <c r="J395"/>
  <c r="L395" s="1"/>
  <c r="J394"/>
  <c r="J393"/>
  <c r="J392"/>
  <c r="J391"/>
  <c r="J390"/>
  <c r="J389"/>
  <c r="J388"/>
  <c r="J387"/>
  <c r="J386"/>
  <c r="J383"/>
  <c r="L383" s="1"/>
  <c r="J382"/>
  <c r="J381"/>
  <c r="J380"/>
  <c r="L380" s="1"/>
  <c r="J379"/>
  <c r="J378"/>
  <c r="J377"/>
  <c r="J376"/>
  <c r="J375"/>
  <c r="J374"/>
  <c r="L374" s="1"/>
  <c r="J373"/>
  <c r="J372"/>
  <c r="L372" s="1"/>
  <c r="J371"/>
  <c r="L371" s="1"/>
  <c r="J370"/>
  <c r="L370" s="1"/>
  <c r="J369"/>
  <c r="L369" s="1"/>
  <c r="J367"/>
  <c r="J366"/>
  <c r="L366" s="1"/>
  <c r="J365"/>
  <c r="J364"/>
  <c r="L364" s="1"/>
  <c r="J363"/>
  <c r="L363" s="1"/>
  <c r="J362"/>
  <c r="L362" s="1"/>
  <c r="J361"/>
  <c r="J360"/>
  <c r="L360" s="1"/>
  <c r="J359"/>
  <c r="L359" s="1"/>
  <c r="J358"/>
  <c r="L358" s="1"/>
  <c r="J357"/>
  <c r="L357" s="1"/>
  <c r="J356"/>
  <c r="L356" s="1"/>
  <c r="J355"/>
  <c r="L355" s="1"/>
  <c r="J354"/>
  <c r="L354" s="1"/>
  <c r="J353"/>
  <c r="J352"/>
  <c r="L352" s="1"/>
  <c r="J351"/>
  <c r="J350"/>
  <c r="L350" s="1"/>
  <c r="J349"/>
  <c r="L349" s="1"/>
  <c r="J303"/>
  <c r="L303" s="1"/>
  <c r="J316"/>
  <c r="J315"/>
  <c r="L315" s="1"/>
  <c r="J314"/>
  <c r="J313"/>
  <c r="L313" s="1"/>
  <c r="J312"/>
  <c r="L312" s="1"/>
  <c r="J311"/>
  <c r="J310"/>
  <c r="J309"/>
  <c r="L309" s="1"/>
  <c r="J308"/>
  <c r="J307"/>
  <c r="J306"/>
  <c r="J305"/>
  <c r="L305" s="1"/>
  <c r="J304"/>
  <c r="J302"/>
  <c r="J301"/>
  <c r="L301" s="1"/>
  <c r="J300"/>
  <c r="J299"/>
  <c r="L299" s="1"/>
  <c r="J298"/>
  <c r="J297"/>
  <c r="J296"/>
  <c r="L296" s="1"/>
  <c r="J295"/>
  <c r="L295" s="1"/>
  <c r="J294"/>
  <c r="L294" s="1"/>
  <c r="J293"/>
  <c r="J292"/>
  <c r="L292" s="1"/>
  <c r="J291"/>
  <c r="L291" s="1"/>
  <c r="J290"/>
  <c r="L290" s="1"/>
  <c r="J289"/>
  <c r="L289" s="1"/>
  <c r="J288"/>
  <c r="L288" s="1"/>
  <c r="J287"/>
  <c r="L287" s="1"/>
  <c r="J286"/>
  <c r="L286" s="1"/>
  <c r="J285"/>
  <c r="L285" s="1"/>
  <c r="J284"/>
  <c r="L284" s="1"/>
  <c r="J283"/>
  <c r="L283" s="1"/>
  <c r="J282"/>
  <c r="L282" s="1"/>
  <c r="J281"/>
  <c r="L281" s="1"/>
  <c r="J280"/>
  <c r="L280" s="1"/>
  <c r="J279"/>
  <c r="L279" s="1"/>
  <c r="J278"/>
  <c r="J277"/>
  <c r="J276"/>
  <c r="J275"/>
  <c r="J274"/>
  <c r="L274" s="1"/>
  <c r="J273"/>
  <c r="J272"/>
  <c r="L272" s="1"/>
  <c r="J271"/>
  <c r="J270"/>
  <c r="L270" s="1"/>
  <c r="J269"/>
  <c r="J268"/>
  <c r="J267"/>
  <c r="L267" s="1"/>
  <c r="J266"/>
  <c r="J265"/>
  <c r="J194"/>
  <c r="D194"/>
  <c r="D228"/>
  <c r="J228" s="1"/>
  <c r="L228" s="1"/>
  <c r="J227"/>
  <c r="L227" s="1"/>
  <c r="J238"/>
  <c r="J237"/>
  <c r="J236"/>
  <c r="J235"/>
  <c r="J234"/>
  <c r="L234" s="1"/>
  <c r="J233"/>
  <c r="J232"/>
  <c r="L232" s="1"/>
  <c r="J231"/>
  <c r="J230"/>
  <c r="J229"/>
  <c r="J226"/>
  <c r="L226" s="1"/>
  <c r="J225"/>
  <c r="J224"/>
  <c r="J223"/>
  <c r="J222"/>
  <c r="J221"/>
  <c r="J220"/>
  <c r="J219"/>
  <c r="J218"/>
  <c r="J217"/>
  <c r="J216"/>
  <c r="L216" s="1"/>
  <c r="J215"/>
  <c r="L215" s="1"/>
  <c r="J214"/>
  <c r="L214" s="1"/>
  <c r="J213"/>
  <c r="L213" s="1"/>
  <c r="J212"/>
  <c r="J211"/>
  <c r="J210"/>
  <c r="J209"/>
  <c r="J208"/>
  <c r="J207"/>
  <c r="L207" s="1"/>
  <c r="J206"/>
  <c r="J205"/>
  <c r="J204"/>
  <c r="J203"/>
  <c r="L203" s="1"/>
  <c r="J202"/>
  <c r="J201"/>
  <c r="J200"/>
  <c r="J199"/>
  <c r="J198"/>
  <c r="L198" s="1"/>
  <c r="J197"/>
  <c r="L197" s="1"/>
  <c r="J196"/>
  <c r="L196" s="1"/>
  <c r="J195"/>
  <c r="L195" s="1"/>
  <c r="J193"/>
  <c r="L193" s="1"/>
  <c r="J192"/>
  <c r="L192" s="1"/>
  <c r="J191"/>
  <c r="J190"/>
  <c r="J189"/>
  <c r="L189" s="1"/>
  <c r="J188"/>
  <c r="J187"/>
  <c r="J186"/>
  <c r="L186" s="1"/>
  <c r="J185"/>
  <c r="L185" s="1"/>
  <c r="J184"/>
  <c r="L184" s="1"/>
  <c r="J183"/>
  <c r="J182"/>
  <c r="L182" s="1"/>
  <c r="J181"/>
  <c r="J145"/>
  <c r="J146"/>
  <c r="L146" s="1"/>
  <c r="J147"/>
  <c r="L147" s="1"/>
  <c r="J148"/>
  <c r="J149"/>
  <c r="J152"/>
  <c r="L152" s="1"/>
  <c r="J151"/>
  <c r="J150"/>
  <c r="L150" s="1"/>
  <c r="J144"/>
  <c r="L144" s="1"/>
  <c r="J143"/>
  <c r="J142"/>
  <c r="L142" s="1"/>
  <c r="J141"/>
  <c r="L141" s="1"/>
  <c r="J140"/>
  <c r="L140" s="1"/>
  <c r="J139"/>
  <c r="J138"/>
  <c r="J137"/>
  <c r="J136"/>
  <c r="J135"/>
  <c r="J134"/>
  <c r="L134" s="1"/>
  <c r="J133"/>
  <c r="L133" s="1"/>
  <c r="J132"/>
  <c r="J131"/>
  <c r="L131" s="1"/>
  <c r="J130"/>
  <c r="J129"/>
  <c r="J128"/>
  <c r="L128" s="1"/>
  <c r="J127"/>
  <c r="L127" s="1"/>
  <c r="J126"/>
  <c r="L126" s="1"/>
  <c r="J125"/>
  <c r="J124"/>
  <c r="J123"/>
  <c r="J122"/>
  <c r="J121"/>
  <c r="L121" s="1"/>
  <c r="J120"/>
  <c r="L120" s="1"/>
  <c r="J119"/>
  <c r="L119" s="1"/>
  <c r="J118"/>
  <c r="L118" s="1"/>
  <c r="J117"/>
  <c r="J116"/>
  <c r="L116" s="1"/>
  <c r="J115"/>
  <c r="L115" s="1"/>
  <c r="J114"/>
  <c r="L114" s="1"/>
  <c r="J113"/>
  <c r="J112"/>
  <c r="L112" s="1"/>
  <c r="J111"/>
  <c r="J110"/>
  <c r="J109"/>
  <c r="J108"/>
  <c r="J107"/>
  <c r="L107" s="1"/>
  <c r="J106"/>
  <c r="J105"/>
  <c r="L105" s="1"/>
  <c r="J104"/>
  <c r="J103"/>
  <c r="L103" s="1"/>
  <c r="J102"/>
  <c r="J101"/>
  <c r="J100"/>
  <c r="J99"/>
  <c r="J98"/>
  <c r="J97"/>
  <c r="J64"/>
  <c r="J63"/>
  <c r="L63" s="1"/>
  <c r="J62"/>
  <c r="J61"/>
  <c r="L61" s="1"/>
  <c r="J60"/>
  <c r="L60" s="1"/>
  <c r="J59"/>
  <c r="J58"/>
  <c r="L58" s="1"/>
  <c r="J57"/>
  <c r="J56"/>
  <c r="L56" s="1"/>
  <c r="J55"/>
  <c r="L55" s="1"/>
  <c r="J54"/>
  <c r="J53"/>
  <c r="L53" s="1"/>
  <c r="J52"/>
  <c r="L52" s="1"/>
  <c r="J51"/>
  <c r="L51" s="1"/>
  <c r="J50"/>
  <c r="L50" s="1"/>
  <c r="J49"/>
  <c r="L49" s="1"/>
  <c r="J48"/>
  <c r="L48" s="1"/>
  <c r="J47"/>
  <c r="L47" s="1"/>
  <c r="J46"/>
  <c r="J45"/>
  <c r="J44"/>
  <c r="J43"/>
  <c r="L43" s="1"/>
  <c r="J42"/>
  <c r="L42" s="1"/>
  <c r="J41"/>
  <c r="L41" s="1"/>
  <c r="J40"/>
  <c r="J39"/>
  <c r="L39" s="1"/>
  <c r="J38"/>
  <c r="L38" s="1"/>
  <c r="J37"/>
  <c r="L37" s="1"/>
  <c r="J36"/>
  <c r="L36" s="1"/>
  <c r="J35"/>
  <c r="L35" s="1"/>
  <c r="J34"/>
  <c r="L34" s="1"/>
  <c r="J33"/>
  <c r="L33" s="1"/>
  <c r="J32"/>
  <c r="L32" s="1"/>
  <c r="J31"/>
  <c r="J30"/>
  <c r="J29"/>
  <c r="L29" s="1"/>
  <c r="J28"/>
  <c r="J27"/>
  <c r="L27" s="1"/>
  <c r="J26"/>
  <c r="J25"/>
  <c r="L25" s="1"/>
  <c r="J24"/>
  <c r="J23"/>
  <c r="J22"/>
  <c r="L22" s="1"/>
  <c r="J21"/>
  <c r="J20"/>
  <c r="L20" s="1"/>
  <c r="J19"/>
  <c r="J18"/>
  <c r="J17"/>
  <c r="L17" s="1"/>
  <c r="L16"/>
  <c r="J15"/>
  <c r="L15" s="1"/>
  <c r="J14"/>
  <c r="L14" s="1"/>
  <c r="J13"/>
  <c r="L13" s="1"/>
  <c r="J467" i="3"/>
  <c r="L467" s="1"/>
  <c r="J441"/>
  <c r="L441" s="1"/>
  <c r="J493"/>
  <c r="L493" s="1"/>
  <c r="J494"/>
  <c r="L494" s="1"/>
  <c r="J495"/>
  <c r="L495" s="1"/>
  <c r="J496"/>
  <c r="L496" s="1"/>
  <c r="J497"/>
  <c r="L497" s="1"/>
  <c r="J498"/>
  <c r="L498" s="1"/>
  <c r="J492"/>
  <c r="L492" s="1"/>
  <c r="J491"/>
  <c r="L491" s="1"/>
  <c r="J490"/>
  <c r="L490" s="1"/>
  <c r="J489"/>
  <c r="L489" s="1"/>
  <c r="J488"/>
  <c r="L488" s="1"/>
  <c r="J487"/>
  <c r="L487" s="1"/>
  <c r="J486"/>
  <c r="L486" s="1"/>
  <c r="J485"/>
  <c r="L485" s="1"/>
  <c r="J484"/>
  <c r="L484" s="1"/>
  <c r="J483"/>
  <c r="L483" s="1"/>
  <c r="J482"/>
  <c r="L482" s="1"/>
  <c r="J481"/>
  <c r="L481" s="1"/>
  <c r="J480"/>
  <c r="L480" s="1"/>
  <c r="J479"/>
  <c r="L479" s="1"/>
  <c r="J478"/>
  <c r="L478" s="1"/>
  <c r="J477"/>
  <c r="L477" s="1"/>
  <c r="J476"/>
  <c r="L476" s="1"/>
  <c r="J475"/>
  <c r="L475" s="1"/>
  <c r="J474"/>
  <c r="L474" s="1"/>
  <c r="J473"/>
  <c r="L473" s="1"/>
  <c r="J472"/>
  <c r="L472" s="1"/>
  <c r="J471"/>
  <c r="L471" s="1"/>
  <c r="J470"/>
  <c r="L470" s="1"/>
  <c r="J469"/>
  <c r="L469" s="1"/>
  <c r="J468"/>
  <c r="L468" s="1"/>
  <c r="J466"/>
  <c r="L466" s="1"/>
  <c r="J465"/>
  <c r="L465" s="1"/>
  <c r="J464"/>
  <c r="L464" s="1"/>
  <c r="J463"/>
  <c r="L463" s="1"/>
  <c r="J462"/>
  <c r="L462" s="1"/>
  <c r="J461"/>
  <c r="L461" s="1"/>
  <c r="J460"/>
  <c r="L460" s="1"/>
  <c r="J459"/>
  <c r="L459" s="1"/>
  <c r="J458"/>
  <c r="L458" s="1"/>
  <c r="J457"/>
  <c r="L457" s="1"/>
  <c r="J456"/>
  <c r="L456" s="1"/>
  <c r="J455"/>
  <c r="L455" s="1"/>
  <c r="J454"/>
  <c r="L454" s="1"/>
  <c r="J453"/>
  <c r="L453" s="1"/>
  <c r="J452"/>
  <c r="L452" s="1"/>
  <c r="J451"/>
  <c r="L451" s="1"/>
  <c r="J450"/>
  <c r="L450" s="1"/>
  <c r="J449"/>
  <c r="L449" s="1"/>
  <c r="J448"/>
  <c r="L448" s="1"/>
  <c r="J447"/>
  <c r="L447" s="1"/>
  <c r="J446"/>
  <c r="L446" s="1"/>
  <c r="J445"/>
  <c r="L445" s="1"/>
  <c r="J444"/>
  <c r="L444" s="1"/>
  <c r="J443"/>
  <c r="L443" s="1"/>
  <c r="J442"/>
  <c r="L442" s="1"/>
  <c r="J440"/>
  <c r="L440" s="1"/>
  <c r="J439"/>
  <c r="L439" s="1"/>
  <c r="J438"/>
  <c r="J408"/>
  <c r="J407"/>
  <c r="J406"/>
  <c r="J405"/>
  <c r="J404"/>
  <c r="J403"/>
  <c r="J402"/>
  <c r="L402" s="1"/>
  <c r="J401"/>
  <c r="J400"/>
  <c r="J399"/>
  <c r="J398"/>
  <c r="J397"/>
  <c r="J396"/>
  <c r="J395"/>
  <c r="J394"/>
  <c r="J393"/>
  <c r="J392"/>
  <c r="J391"/>
  <c r="J390"/>
  <c r="L390" s="1"/>
  <c r="J389"/>
  <c r="J388"/>
  <c r="J387"/>
  <c r="J386"/>
  <c r="J385"/>
  <c r="J384"/>
  <c r="J383"/>
  <c r="J382"/>
  <c r="J381"/>
  <c r="J380"/>
  <c r="J379"/>
  <c r="J378"/>
  <c r="L378" s="1"/>
  <c r="J377"/>
  <c r="J376"/>
  <c r="L376" s="1"/>
  <c r="J375"/>
  <c r="L375" s="1"/>
  <c r="J374"/>
  <c r="L374" s="1"/>
  <c r="J373"/>
  <c r="J372"/>
  <c r="J371"/>
  <c r="J370"/>
  <c r="J369"/>
  <c r="L369" s="1"/>
  <c r="J368"/>
  <c r="J367"/>
  <c r="J366"/>
  <c r="L366" s="1"/>
  <c r="J365"/>
  <c r="L365" s="1"/>
  <c r="J364"/>
  <c r="L364" s="1"/>
  <c r="J363"/>
  <c r="J362"/>
  <c r="L362" s="1"/>
  <c r="J361"/>
  <c r="J360"/>
  <c r="J359"/>
  <c r="J358"/>
  <c r="J357"/>
  <c r="J356"/>
  <c r="J355"/>
  <c r="J354"/>
  <c r="L354" s="1"/>
  <c r="J353"/>
  <c r="L353" s="1"/>
  <c r="J331"/>
  <c r="L331" s="1"/>
  <c r="J320"/>
  <c r="L320" s="1"/>
  <c r="J321"/>
  <c r="L321" s="1"/>
  <c r="J329"/>
  <c r="L329" s="1"/>
  <c r="J330"/>
  <c r="L330" s="1"/>
  <c r="J332"/>
  <c r="L332" s="1"/>
  <c r="J333"/>
  <c r="L333" s="1"/>
  <c r="J328"/>
  <c r="L328" s="1"/>
  <c r="J327"/>
  <c r="L327" s="1"/>
  <c r="J326"/>
  <c r="L326" s="1"/>
  <c r="J325"/>
  <c r="L325" s="1"/>
  <c r="J324"/>
  <c r="L324" s="1"/>
  <c r="J323"/>
  <c r="L323" s="1"/>
  <c r="J322"/>
  <c r="L322" s="1"/>
  <c r="J319"/>
  <c r="L319" s="1"/>
  <c r="J318"/>
  <c r="L318" s="1"/>
  <c r="J317"/>
  <c r="L317" s="1"/>
  <c r="J316"/>
  <c r="L316" s="1"/>
  <c r="J315"/>
  <c r="L315" s="1"/>
  <c r="J314"/>
  <c r="L314" s="1"/>
  <c r="J313"/>
  <c r="L313" s="1"/>
  <c r="J312"/>
  <c r="L312" s="1"/>
  <c r="J311"/>
  <c r="L311" s="1"/>
  <c r="J310"/>
  <c r="L310" s="1"/>
  <c r="J309"/>
  <c r="L309" s="1"/>
  <c r="J308"/>
  <c r="L308" s="1"/>
  <c r="J307"/>
  <c r="L307" s="1"/>
  <c r="J306"/>
  <c r="L306" s="1"/>
  <c r="J305"/>
  <c r="L305" s="1"/>
  <c r="J304"/>
  <c r="L304" s="1"/>
  <c r="J303"/>
  <c r="L303" s="1"/>
  <c r="J302"/>
  <c r="L302" s="1"/>
  <c r="J301"/>
  <c r="L301" s="1"/>
  <c r="J300"/>
  <c r="L300" s="1"/>
  <c r="J299"/>
  <c r="L299" s="1"/>
  <c r="J298"/>
  <c r="L298" s="1"/>
  <c r="J297"/>
  <c r="L297" s="1"/>
  <c r="J296"/>
  <c r="L296" s="1"/>
  <c r="J295"/>
  <c r="L295" s="1"/>
  <c r="J294"/>
  <c r="L294" s="1"/>
  <c r="J293"/>
  <c r="L293" s="1"/>
  <c r="J292"/>
  <c r="L292" s="1"/>
  <c r="J291"/>
  <c r="L291" s="1"/>
  <c r="J290"/>
  <c r="L290" s="1"/>
  <c r="J289"/>
  <c r="L289" s="1"/>
  <c r="J288"/>
  <c r="L288" s="1"/>
  <c r="J287"/>
  <c r="L287" s="1"/>
  <c r="J286"/>
  <c r="L286" s="1"/>
  <c r="J285"/>
  <c r="L285" s="1"/>
  <c r="J284"/>
  <c r="L284" s="1"/>
  <c r="J283"/>
  <c r="L283" s="1"/>
  <c r="J282"/>
  <c r="L282" s="1"/>
  <c r="J281"/>
  <c r="L281" s="1"/>
  <c r="J280"/>
  <c r="L280" s="1"/>
  <c r="J279"/>
  <c r="L279" s="1"/>
  <c r="J278"/>
  <c r="L278" s="1"/>
  <c r="J277"/>
  <c r="L277" s="1"/>
  <c r="J276"/>
  <c r="L276" s="1"/>
  <c r="J275"/>
  <c r="L275" s="1"/>
  <c r="J274"/>
  <c r="L274" s="1"/>
  <c r="J273"/>
  <c r="L273" s="1"/>
  <c r="J272"/>
  <c r="L272" s="1"/>
  <c r="J271"/>
  <c r="L271" s="1"/>
  <c r="J270"/>
  <c r="L270" s="1"/>
  <c r="J269"/>
  <c r="L269" s="1"/>
  <c r="J268"/>
  <c r="L268" s="1"/>
  <c r="J244"/>
  <c r="L244" s="1"/>
  <c r="J243"/>
  <c r="L243" s="1"/>
  <c r="J242"/>
  <c r="L242" s="1"/>
  <c r="J241"/>
  <c r="L241" s="1"/>
  <c r="J240"/>
  <c r="L240" s="1"/>
  <c r="J239"/>
  <c r="L239" s="1"/>
  <c r="J238"/>
  <c r="L238" s="1"/>
  <c r="J237"/>
  <c r="L237" s="1"/>
  <c r="J236"/>
  <c r="L236" s="1"/>
  <c r="J235"/>
  <c r="L235" s="1"/>
  <c r="J234"/>
  <c r="L234" s="1"/>
  <c r="J233"/>
  <c r="L233" s="1"/>
  <c r="J232"/>
  <c r="L232" s="1"/>
  <c r="J231"/>
  <c r="L231" s="1"/>
  <c r="J230"/>
  <c r="L230" s="1"/>
  <c r="J229"/>
  <c r="L229" s="1"/>
  <c r="J228"/>
  <c r="L228" s="1"/>
  <c r="J227"/>
  <c r="L227" s="1"/>
  <c r="J226"/>
  <c r="L226" s="1"/>
  <c r="J225"/>
  <c r="L225" s="1"/>
  <c r="J224"/>
  <c r="L224" s="1"/>
  <c r="J223"/>
  <c r="L223" s="1"/>
  <c r="J222"/>
  <c r="L222" s="1"/>
  <c r="J221"/>
  <c r="L221" s="1"/>
  <c r="J220"/>
  <c r="L220" s="1"/>
  <c r="J219"/>
  <c r="L219" s="1"/>
  <c r="J218"/>
  <c r="L218" s="1"/>
  <c r="J217"/>
  <c r="L217" s="1"/>
  <c r="J216"/>
  <c r="L216" s="1"/>
  <c r="J215"/>
  <c r="L215" s="1"/>
  <c r="J214"/>
  <c r="L214" s="1"/>
  <c r="J213"/>
  <c r="L213" s="1"/>
  <c r="J212"/>
  <c r="L212" s="1"/>
  <c r="J211"/>
  <c r="L211" s="1"/>
  <c r="J210"/>
  <c r="L210" s="1"/>
  <c r="J209"/>
  <c r="L209" s="1"/>
  <c r="J208"/>
  <c r="L208" s="1"/>
  <c r="J207"/>
  <c r="L207" s="1"/>
  <c r="J206"/>
  <c r="L206" s="1"/>
  <c r="J205"/>
  <c r="L205" s="1"/>
  <c r="J204"/>
  <c r="L204" s="1"/>
  <c r="J203"/>
  <c r="J202"/>
  <c r="J201"/>
  <c r="J200"/>
  <c r="J199"/>
  <c r="L199" s="1"/>
  <c r="J198"/>
  <c r="J197"/>
  <c r="L197" s="1"/>
  <c r="J196"/>
  <c r="J195"/>
  <c r="J194"/>
  <c r="L194" s="1"/>
  <c r="J193"/>
  <c r="L193" s="1"/>
  <c r="J192"/>
  <c r="J191"/>
  <c r="J190"/>
  <c r="L190" s="1"/>
  <c r="J189"/>
  <c r="L189" s="1"/>
  <c r="J188"/>
  <c r="J187"/>
  <c r="J186"/>
  <c r="J185"/>
  <c r="J184"/>
  <c r="L184" s="1"/>
  <c r="J183"/>
  <c r="E125"/>
  <c r="J125" s="1"/>
  <c r="J151"/>
  <c r="J152"/>
  <c r="J153"/>
  <c r="J154"/>
  <c r="J155"/>
  <c r="J156"/>
  <c r="J157"/>
  <c r="J158"/>
  <c r="J159"/>
  <c r="J160"/>
  <c r="J161"/>
  <c r="J162"/>
  <c r="J163"/>
  <c r="J164"/>
  <c r="J150"/>
  <c r="J149"/>
  <c r="J148"/>
  <c r="J147"/>
  <c r="J146"/>
  <c r="J145"/>
  <c r="L145" s="1"/>
  <c r="J144"/>
  <c r="J143"/>
  <c r="J142"/>
  <c r="L142" s="1"/>
  <c r="J141"/>
  <c r="J140"/>
  <c r="J139"/>
  <c r="L139" s="1"/>
  <c r="J138"/>
  <c r="J137"/>
  <c r="J136"/>
  <c r="J135"/>
  <c r="J134"/>
  <c r="J133"/>
  <c r="J132"/>
  <c r="J131"/>
  <c r="J130"/>
  <c r="J129"/>
  <c r="J128"/>
  <c r="J127"/>
  <c r="J126"/>
  <c r="L126" s="1"/>
  <c r="J124"/>
  <c r="J123"/>
  <c r="J122"/>
  <c r="J121"/>
  <c r="J120"/>
  <c r="J119"/>
  <c r="J118"/>
  <c r="L118" s="1"/>
  <c r="J117"/>
  <c r="L117" s="1"/>
  <c r="J116"/>
  <c r="L116" s="1"/>
  <c r="J115"/>
  <c r="L115" s="1"/>
  <c r="J114"/>
  <c r="J113"/>
  <c r="L113" s="1"/>
  <c r="J112"/>
  <c r="J111"/>
  <c r="J110"/>
  <c r="L110" s="1"/>
  <c r="J109"/>
  <c r="J108"/>
  <c r="L108" s="1"/>
  <c r="J107"/>
  <c r="L107" s="1"/>
  <c r="J106"/>
  <c r="J105"/>
  <c r="L105" s="1"/>
  <c r="J104"/>
  <c r="J103"/>
  <c r="L103" s="1"/>
  <c r="J102"/>
  <c r="J101"/>
  <c r="J100"/>
  <c r="J99"/>
  <c r="J98"/>
  <c r="L98" s="1"/>
  <c r="J72"/>
  <c r="J71"/>
  <c r="L71" s="1"/>
  <c r="J70"/>
  <c r="J69"/>
  <c r="J68"/>
  <c r="J67"/>
  <c r="J66"/>
  <c r="J65"/>
  <c r="J64"/>
  <c r="L64" s="1"/>
  <c r="J63"/>
  <c r="J62"/>
  <c r="J61"/>
  <c r="J60"/>
  <c r="J59"/>
  <c r="J58"/>
  <c r="J57"/>
  <c r="J56"/>
  <c r="J55"/>
  <c r="L55" s="1"/>
  <c r="J54"/>
  <c r="J53"/>
  <c r="J52"/>
  <c r="J51"/>
  <c r="L51" s="1"/>
  <c r="J50"/>
  <c r="J49"/>
  <c r="J48"/>
  <c r="J47"/>
  <c r="J46"/>
  <c r="J45"/>
  <c r="J44"/>
  <c r="J43"/>
  <c r="J42"/>
  <c r="L42" s="1"/>
  <c r="J41"/>
  <c r="L41" s="1"/>
  <c r="J40"/>
  <c r="J39"/>
  <c r="J38"/>
  <c r="J37"/>
  <c r="J36"/>
  <c r="J35"/>
  <c r="J34"/>
  <c r="L34" s="1"/>
  <c r="J33"/>
  <c r="J32"/>
  <c r="J31"/>
  <c r="J30"/>
  <c r="L30" s="1"/>
  <c r="J29"/>
  <c r="J28"/>
  <c r="L28" s="1"/>
  <c r="J27"/>
  <c r="J26"/>
  <c r="L26" s="1"/>
  <c r="J25"/>
  <c r="J24"/>
  <c r="L24" s="1"/>
  <c r="J23"/>
  <c r="J22"/>
  <c r="L22" s="1"/>
  <c r="J21"/>
  <c r="L21" s="1"/>
  <c r="J20"/>
  <c r="L20" s="1"/>
  <c r="J19"/>
  <c r="L19" s="1"/>
  <c r="J18"/>
  <c r="J17"/>
  <c r="J16"/>
  <c r="L16" s="1"/>
  <c r="J15"/>
  <c r="J14"/>
  <c r="L14" s="1"/>
  <c r="J13"/>
  <c r="L13" s="1"/>
  <c r="J434" i="2"/>
  <c r="J435"/>
  <c r="A435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34"/>
  <c r="J490"/>
  <c r="J489"/>
  <c r="J488"/>
  <c r="J487"/>
  <c r="J486"/>
  <c r="J485"/>
  <c r="J484"/>
  <c r="J483"/>
  <c r="L483" s="1"/>
  <c r="J482"/>
  <c r="J481"/>
  <c r="J480"/>
  <c r="J479"/>
  <c r="L479" s="1"/>
  <c r="J478"/>
  <c r="J477"/>
  <c r="J476"/>
  <c r="J475"/>
  <c r="J474"/>
  <c r="J473"/>
  <c r="J472"/>
  <c r="J471"/>
  <c r="L471" s="1"/>
  <c r="J470"/>
  <c r="J469"/>
  <c r="L469" s="1"/>
  <c r="J468"/>
  <c r="J467"/>
  <c r="L467" s="1"/>
  <c r="J466"/>
  <c r="J465"/>
  <c r="J464"/>
  <c r="J463"/>
  <c r="J462"/>
  <c r="J461"/>
  <c r="L461" s="1"/>
  <c r="J460"/>
  <c r="J459"/>
  <c r="J458"/>
  <c r="L458" s="1"/>
  <c r="J457"/>
  <c r="J456"/>
  <c r="J455"/>
  <c r="L455" s="1"/>
  <c r="J454"/>
  <c r="J453"/>
  <c r="L453" s="1"/>
  <c r="J452"/>
  <c r="J451"/>
  <c r="J450"/>
  <c r="J449"/>
  <c r="J448"/>
  <c r="J447"/>
  <c r="L447" s="1"/>
  <c r="J446"/>
  <c r="L446" s="1"/>
  <c r="J445"/>
  <c r="L445" s="1"/>
  <c r="J444"/>
  <c r="J443"/>
  <c r="J442"/>
  <c r="J441"/>
  <c r="J440"/>
  <c r="J439"/>
  <c r="L439" s="1"/>
  <c r="J438"/>
  <c r="L438" s="1"/>
  <c r="J437"/>
  <c r="J436"/>
  <c r="J433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350"/>
  <c r="J404"/>
  <c r="J403"/>
  <c r="J402"/>
  <c r="J401"/>
  <c r="J400"/>
  <c r="L400" s="1"/>
  <c r="J399"/>
  <c r="J398"/>
  <c r="L398" s="1"/>
  <c r="J397"/>
  <c r="J396"/>
  <c r="J395"/>
  <c r="J394"/>
  <c r="J393"/>
  <c r="J392"/>
  <c r="J391"/>
  <c r="J390"/>
  <c r="J389"/>
  <c r="J388"/>
  <c r="J387"/>
  <c r="L386"/>
  <c r="J385"/>
  <c r="J384"/>
  <c r="J383"/>
  <c r="L383" s="1"/>
  <c r="J382"/>
  <c r="J381"/>
  <c r="J380"/>
  <c r="J379"/>
  <c r="J378"/>
  <c r="J377"/>
  <c r="J376"/>
  <c r="J375"/>
  <c r="J374"/>
  <c r="J373"/>
  <c r="L373" s="1"/>
  <c r="J372"/>
  <c r="L372" s="1"/>
  <c r="J371"/>
  <c r="L371" s="1"/>
  <c r="J370"/>
  <c r="L370" s="1"/>
  <c r="J369"/>
  <c r="J368"/>
  <c r="J367"/>
  <c r="L366"/>
  <c r="J365"/>
  <c r="L365" s="1"/>
  <c r="J364"/>
  <c r="J363"/>
  <c r="J362"/>
  <c r="L362" s="1"/>
  <c r="J361"/>
  <c r="L361" s="1"/>
  <c r="J360"/>
  <c r="L360" s="1"/>
  <c r="J359"/>
  <c r="J358"/>
  <c r="L358" s="1"/>
  <c r="J357"/>
  <c r="L357" s="1"/>
  <c r="J356"/>
  <c r="J355"/>
  <c r="J354"/>
  <c r="J353"/>
  <c r="J352"/>
  <c r="J351"/>
  <c r="J350"/>
  <c r="L350" s="1"/>
  <c r="J349"/>
  <c r="L349" s="1"/>
  <c r="J316"/>
  <c r="J317"/>
  <c r="J318"/>
  <c r="J319"/>
  <c r="J320"/>
  <c r="J321"/>
  <c r="J322"/>
  <c r="J323"/>
  <c r="J324"/>
  <c r="L324" s="1"/>
  <c r="J325"/>
  <c r="J327"/>
  <c r="J326"/>
  <c r="J315"/>
  <c r="J314"/>
  <c r="J313"/>
  <c r="J312"/>
  <c r="J311"/>
  <c r="J310"/>
  <c r="J309"/>
  <c r="J308"/>
  <c r="J307"/>
  <c r="L307" s="1"/>
  <c r="J306"/>
  <c r="J305"/>
  <c r="L305" s="1"/>
  <c r="J304"/>
  <c r="J303"/>
  <c r="L303" s="1"/>
  <c r="J302"/>
  <c r="J301"/>
  <c r="J300"/>
  <c r="L300" s="1"/>
  <c r="J299"/>
  <c r="L299" s="1"/>
  <c r="J298"/>
  <c r="L298" s="1"/>
  <c r="J297"/>
  <c r="L297" s="1"/>
  <c r="J296"/>
  <c r="L296" s="1"/>
  <c r="J295"/>
  <c r="L295" s="1"/>
  <c r="J294"/>
  <c r="L294" s="1"/>
  <c r="J293"/>
  <c r="L293" s="1"/>
  <c r="J292"/>
  <c r="J291"/>
  <c r="L291" s="1"/>
  <c r="J290"/>
  <c r="L290" s="1"/>
  <c r="J289"/>
  <c r="L289" s="1"/>
  <c r="J288"/>
  <c r="J287"/>
  <c r="L287" s="1"/>
  <c r="J286"/>
  <c r="J285"/>
  <c r="J284"/>
  <c r="J283"/>
  <c r="J282"/>
  <c r="J281"/>
  <c r="J280"/>
  <c r="J279"/>
  <c r="J278"/>
  <c r="L278" s="1"/>
  <c r="J277"/>
  <c r="J276"/>
  <c r="J275"/>
  <c r="J274"/>
  <c r="J273"/>
  <c r="J272"/>
  <c r="J271"/>
  <c r="J270"/>
  <c r="L270" s="1"/>
  <c r="J269"/>
  <c r="L269" s="1"/>
  <c r="J268"/>
  <c r="J267"/>
  <c r="J266"/>
  <c r="J265"/>
  <c r="J236"/>
  <c r="J238"/>
  <c r="J237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L215" s="1"/>
  <c r="J214"/>
  <c r="L214" s="1"/>
  <c r="J213"/>
  <c r="J212"/>
  <c r="J211"/>
  <c r="J210"/>
  <c r="J209"/>
  <c r="J208"/>
  <c r="J207"/>
  <c r="L207" s="1"/>
  <c r="J206"/>
  <c r="J205"/>
  <c r="J204"/>
  <c r="J203"/>
  <c r="J202"/>
  <c r="J201"/>
  <c r="J200"/>
  <c r="J199"/>
  <c r="J198"/>
  <c r="J197"/>
  <c r="J196"/>
  <c r="L196" s="1"/>
  <c r="J195"/>
  <c r="L195" s="1"/>
  <c r="J194"/>
  <c r="J193"/>
  <c r="L193" s="1"/>
  <c r="J192"/>
  <c r="L192" s="1"/>
  <c r="J191"/>
  <c r="J190"/>
  <c r="J189"/>
  <c r="L189" s="1"/>
  <c r="J188"/>
  <c r="J187"/>
  <c r="J186"/>
  <c r="L186" s="1"/>
  <c r="J185"/>
  <c r="L185" s="1"/>
  <c r="J184"/>
  <c r="J183"/>
  <c r="J182"/>
  <c r="J181"/>
  <c r="J159"/>
  <c r="J160"/>
  <c r="J162"/>
  <c r="J161"/>
  <c r="J158"/>
  <c r="J157"/>
  <c r="J156"/>
  <c r="J155"/>
  <c r="J154"/>
  <c r="J153"/>
  <c r="J152"/>
  <c r="J151"/>
  <c r="J150"/>
  <c r="J149"/>
  <c r="J148"/>
  <c r="J147"/>
  <c r="J146"/>
  <c r="J145"/>
  <c r="J144"/>
  <c r="J143"/>
  <c r="L143" s="1"/>
  <c r="J142"/>
  <c r="J141"/>
  <c r="J140"/>
  <c r="L140" s="1"/>
  <c r="J139"/>
  <c r="J138"/>
  <c r="J137"/>
  <c r="L137" s="1"/>
  <c r="J136"/>
  <c r="J135"/>
  <c r="J134"/>
  <c r="J133"/>
  <c r="J132"/>
  <c r="J131"/>
  <c r="J130"/>
  <c r="J129"/>
  <c r="L129" s="1"/>
  <c r="J128"/>
  <c r="L128" s="1"/>
  <c r="J127"/>
  <c r="J126"/>
  <c r="J125"/>
  <c r="J124"/>
  <c r="L124" s="1"/>
  <c r="J123"/>
  <c r="J122"/>
  <c r="J121"/>
  <c r="J120"/>
  <c r="J119"/>
  <c r="J118"/>
  <c r="J117"/>
  <c r="J116"/>
  <c r="L116" s="1"/>
  <c r="J115"/>
  <c r="L115" s="1"/>
  <c r="J114"/>
  <c r="L114" s="1"/>
  <c r="J113"/>
  <c r="L113" s="1"/>
  <c r="J112"/>
  <c r="L112" s="1"/>
  <c r="J111"/>
  <c r="L111" s="1"/>
  <c r="J110"/>
  <c r="J109"/>
  <c r="L109" s="1"/>
  <c r="J108"/>
  <c r="L108" s="1"/>
  <c r="J107"/>
  <c r="J106"/>
  <c r="L106" s="1"/>
  <c r="J105"/>
  <c r="L105" s="1"/>
  <c r="J104"/>
  <c r="J103"/>
  <c r="L103" s="1"/>
  <c r="J102"/>
  <c r="J101"/>
  <c r="J100"/>
  <c r="J99"/>
  <c r="J98"/>
  <c r="J97"/>
  <c r="L97" s="1"/>
  <c r="J76"/>
  <c r="J75"/>
  <c r="J74"/>
  <c r="J73"/>
  <c r="J72"/>
  <c r="J71"/>
  <c r="J70"/>
  <c r="L70" s="1"/>
  <c r="J69"/>
  <c r="J68"/>
  <c r="J67"/>
  <c r="J66"/>
  <c r="J65"/>
  <c r="J64"/>
  <c r="J63"/>
  <c r="J62"/>
  <c r="L62" s="1"/>
  <c r="J61"/>
  <c r="J60"/>
  <c r="J59"/>
  <c r="L59" s="1"/>
  <c r="J58"/>
  <c r="J57"/>
  <c r="J56"/>
  <c r="J55"/>
  <c r="L55" s="1"/>
  <c r="J54"/>
  <c r="L54" s="1"/>
  <c r="J53"/>
  <c r="J52"/>
  <c r="J51"/>
  <c r="J50"/>
  <c r="L50" s="1"/>
  <c r="J49"/>
  <c r="J48"/>
  <c r="J47"/>
  <c r="J46"/>
  <c r="L46" s="1"/>
  <c r="J45"/>
  <c r="J44"/>
  <c r="J43"/>
  <c r="J42"/>
  <c r="J41"/>
  <c r="J40"/>
  <c r="J39"/>
  <c r="L39" s="1"/>
  <c r="J38"/>
  <c r="J37"/>
  <c r="L37" s="1"/>
  <c r="J36"/>
  <c r="J35"/>
  <c r="J34"/>
  <c r="J33"/>
  <c r="L33" s="1"/>
  <c r="J32"/>
  <c r="L32" s="1"/>
  <c r="J31"/>
  <c r="L31" s="1"/>
  <c r="J30"/>
  <c r="J29"/>
  <c r="J28"/>
  <c r="L28" s="1"/>
  <c r="J27"/>
  <c r="J26"/>
  <c r="L26" s="1"/>
  <c r="J25"/>
  <c r="L25" s="1"/>
  <c r="J24"/>
  <c r="L24" s="1"/>
  <c r="J23"/>
  <c r="J22"/>
  <c r="L21"/>
  <c r="J20"/>
  <c r="J19"/>
  <c r="L19" s="1"/>
  <c r="J18"/>
  <c r="L18" s="1"/>
  <c r="J17"/>
  <c r="L17" s="1"/>
  <c r="J16"/>
  <c r="L15"/>
  <c r="J14"/>
  <c r="L14" s="1"/>
  <c r="J13"/>
  <c r="J487" i="4"/>
  <c r="L487" s="1"/>
  <c r="J488"/>
  <c r="L488" s="1"/>
  <c r="J489"/>
  <c r="L489" s="1"/>
  <c r="J490"/>
  <c r="L490" s="1"/>
  <c r="J491"/>
  <c r="L491" s="1"/>
  <c r="J492"/>
  <c r="L492" s="1"/>
  <c r="J498"/>
  <c r="L498" s="1"/>
  <c r="J497"/>
  <c r="J496"/>
  <c r="L496" s="1"/>
  <c r="J495"/>
  <c r="L495" s="1"/>
  <c r="J494"/>
  <c r="L494" s="1"/>
  <c r="J493"/>
  <c r="L493" s="1"/>
  <c r="J486"/>
  <c r="L486" s="1"/>
  <c r="J485"/>
  <c r="L485" s="1"/>
  <c r="J484"/>
  <c r="L484" s="1"/>
  <c r="J483"/>
  <c r="L483" s="1"/>
  <c r="J482"/>
  <c r="L482" s="1"/>
  <c r="J481"/>
  <c r="L481" s="1"/>
  <c r="J480"/>
  <c r="L480" s="1"/>
  <c r="J479"/>
  <c r="L479" s="1"/>
  <c r="J478"/>
  <c r="L478" s="1"/>
  <c r="J477"/>
  <c r="J476"/>
  <c r="L476" s="1"/>
  <c r="J475"/>
  <c r="L475" s="1"/>
  <c r="J474"/>
  <c r="L474" s="1"/>
  <c r="J473"/>
  <c r="L473" s="1"/>
  <c r="J472"/>
  <c r="L472" s="1"/>
  <c r="J471"/>
  <c r="L471" s="1"/>
  <c r="J470"/>
  <c r="L470" s="1"/>
  <c r="J469"/>
  <c r="L469" s="1"/>
  <c r="J468"/>
  <c r="J467"/>
  <c r="L467" s="1"/>
  <c r="J466"/>
  <c r="L466" s="1"/>
  <c r="J465"/>
  <c r="L465" s="1"/>
  <c r="J464"/>
  <c r="L464" s="1"/>
  <c r="J463"/>
  <c r="L463" s="1"/>
  <c r="J462"/>
  <c r="L462" s="1"/>
  <c r="J461"/>
  <c r="L461" s="1"/>
  <c r="J460"/>
  <c r="L460" s="1"/>
  <c r="J459"/>
  <c r="L459" s="1"/>
  <c r="J458"/>
  <c r="L458" s="1"/>
  <c r="J457"/>
  <c r="L457" s="1"/>
  <c r="J456"/>
  <c r="L456" s="1"/>
  <c r="J455"/>
  <c r="L455" s="1"/>
  <c r="J454"/>
  <c r="L454" s="1"/>
  <c r="J453"/>
  <c r="L453" s="1"/>
  <c r="J452"/>
  <c r="L452" s="1"/>
  <c r="J451"/>
  <c r="L451" s="1"/>
  <c r="J450"/>
  <c r="L450" s="1"/>
  <c r="J449"/>
  <c r="L449" s="1"/>
  <c r="J448"/>
  <c r="L448" s="1"/>
  <c r="J447"/>
  <c r="L447" s="1"/>
  <c r="J446"/>
  <c r="L446" s="1"/>
  <c r="J445"/>
  <c r="L445" s="1"/>
  <c r="J444"/>
  <c r="L444" s="1"/>
  <c r="J443"/>
  <c r="L443" s="1"/>
  <c r="J405"/>
  <c r="L405" s="1"/>
  <c r="J406"/>
  <c r="L406" s="1"/>
  <c r="J404"/>
  <c r="L404" s="1"/>
  <c r="J403"/>
  <c r="L403" s="1"/>
  <c r="J402"/>
  <c r="L402" s="1"/>
  <c r="J401"/>
  <c r="L401" s="1"/>
  <c r="J400"/>
  <c r="L400" s="1"/>
  <c r="J399"/>
  <c r="L399" s="1"/>
  <c r="J398"/>
  <c r="L398" s="1"/>
  <c r="J397"/>
  <c r="L397" s="1"/>
  <c r="J396"/>
  <c r="L396" s="1"/>
  <c r="J395"/>
  <c r="L395" s="1"/>
  <c r="J394"/>
  <c r="L394" s="1"/>
  <c r="J393"/>
  <c r="L393" s="1"/>
  <c r="J392"/>
  <c r="L392" s="1"/>
  <c r="J391"/>
  <c r="L391" s="1"/>
  <c r="J390"/>
  <c r="L390" s="1"/>
  <c r="J389"/>
  <c r="L389" s="1"/>
  <c r="J388"/>
  <c r="L388" s="1"/>
  <c r="J387"/>
  <c r="L387" s="1"/>
  <c r="J386"/>
  <c r="L386" s="1"/>
  <c r="J385"/>
  <c r="J384"/>
  <c r="L384" s="1"/>
  <c r="J383"/>
  <c r="L383" s="1"/>
  <c r="J382"/>
  <c r="L382" s="1"/>
  <c r="J381"/>
  <c r="L381" s="1"/>
  <c r="J380"/>
  <c r="L380" s="1"/>
  <c r="J379"/>
  <c r="L379" s="1"/>
  <c r="J378"/>
  <c r="L378" s="1"/>
  <c r="J377"/>
  <c r="J376"/>
  <c r="L376" s="1"/>
  <c r="J375"/>
  <c r="L375" s="1"/>
  <c r="J374"/>
  <c r="L374" s="1"/>
  <c r="J373"/>
  <c r="L373" s="1"/>
  <c r="J372"/>
  <c r="L372" s="1"/>
  <c r="J371"/>
  <c r="L371" s="1"/>
  <c r="J370"/>
  <c r="L370" s="1"/>
  <c r="J369"/>
  <c r="J368"/>
  <c r="L368" s="1"/>
  <c r="J367"/>
  <c r="L367" s="1"/>
  <c r="J366"/>
  <c r="L366" s="1"/>
  <c r="J365"/>
  <c r="L365" s="1"/>
  <c r="J364"/>
  <c r="L364" s="1"/>
  <c r="J363"/>
  <c r="L363" s="1"/>
  <c r="J362"/>
  <c r="J361"/>
  <c r="L361" s="1"/>
  <c r="J360"/>
  <c r="L360" s="1"/>
  <c r="J359"/>
  <c r="L359" s="1"/>
  <c r="J358"/>
  <c r="L358" s="1"/>
  <c r="J357"/>
  <c r="L357" s="1"/>
  <c r="J277"/>
  <c r="L277" s="1"/>
  <c r="J278"/>
  <c r="L278" s="1"/>
  <c r="J279"/>
  <c r="L279" s="1"/>
  <c r="J280"/>
  <c r="L280" s="1"/>
  <c r="J281"/>
  <c r="L281" s="1"/>
  <c r="J282"/>
  <c r="L282" s="1"/>
  <c r="J283"/>
  <c r="L283" s="1"/>
  <c r="J284"/>
  <c r="L284" s="1"/>
  <c r="J285"/>
  <c r="L285" s="1"/>
  <c r="J286"/>
  <c r="L286" s="1"/>
  <c r="J287"/>
  <c r="L287" s="1"/>
  <c r="J288"/>
  <c r="L288" s="1"/>
  <c r="J289"/>
  <c r="L289" s="1"/>
  <c r="J290"/>
  <c r="L290" s="1"/>
  <c r="J291"/>
  <c r="L291" s="1"/>
  <c r="L292"/>
  <c r="J293"/>
  <c r="L293" s="1"/>
  <c r="J294"/>
  <c r="L294" s="1"/>
  <c r="J295"/>
  <c r="L295" s="1"/>
  <c r="J296"/>
  <c r="L296" s="1"/>
  <c r="J298"/>
  <c r="L298" s="1"/>
  <c r="J299"/>
  <c r="L299" s="1"/>
  <c r="J300"/>
  <c r="L300" s="1"/>
  <c r="J301"/>
  <c r="L301" s="1"/>
  <c r="J302"/>
  <c r="L302" s="1"/>
  <c r="J303"/>
  <c r="L303" s="1"/>
  <c r="J304"/>
  <c r="L304" s="1"/>
  <c r="J305"/>
  <c r="L305" s="1"/>
  <c r="J306"/>
  <c r="L306" s="1"/>
  <c r="J307"/>
  <c r="L307" s="1"/>
  <c r="J308"/>
  <c r="L308" s="1"/>
  <c r="J309"/>
  <c r="L309" s="1"/>
  <c r="J310"/>
  <c r="L310" s="1"/>
  <c r="J311"/>
  <c r="L311" s="1"/>
  <c r="J312"/>
  <c r="L312" s="1"/>
  <c r="J313"/>
  <c r="L313" s="1"/>
  <c r="J314"/>
  <c r="L314" s="1"/>
  <c r="J315"/>
  <c r="L315" s="1"/>
  <c r="J316"/>
  <c r="L316" s="1"/>
  <c r="J317"/>
  <c r="L317" s="1"/>
  <c r="J318"/>
  <c r="L318" s="1"/>
  <c r="J319"/>
  <c r="L319" s="1"/>
  <c r="J320"/>
  <c r="L320" s="1"/>
  <c r="J321"/>
  <c r="L321" s="1"/>
  <c r="J322"/>
  <c r="L322" s="1"/>
  <c r="J323"/>
  <c r="L323" s="1"/>
  <c r="J324"/>
  <c r="L324" s="1"/>
  <c r="J325"/>
  <c r="L325" s="1"/>
  <c r="J326"/>
  <c r="L326" s="1"/>
  <c r="J275"/>
  <c r="L275" s="1"/>
  <c r="J274"/>
  <c r="L274" s="1"/>
  <c r="J273"/>
  <c r="L273" s="1"/>
  <c r="J272"/>
  <c r="L272" s="1"/>
  <c r="J271"/>
  <c r="L271" s="1"/>
  <c r="J233"/>
  <c r="L233" s="1"/>
  <c r="J234"/>
  <c r="L234" s="1"/>
  <c r="J235"/>
  <c r="L235" s="1"/>
  <c r="J236"/>
  <c r="L236" s="1"/>
  <c r="J237"/>
  <c r="L237" s="1"/>
  <c r="J238"/>
  <c r="L238" s="1"/>
  <c r="J239"/>
  <c r="L239" s="1"/>
  <c r="J240"/>
  <c r="L240" s="1"/>
  <c r="J232"/>
  <c r="L232" s="1"/>
  <c r="J231"/>
  <c r="L231" s="1"/>
  <c r="J230"/>
  <c r="L230" s="1"/>
  <c r="J229"/>
  <c r="L229" s="1"/>
  <c r="J228"/>
  <c r="L228" s="1"/>
  <c r="J227"/>
  <c r="L227" s="1"/>
  <c r="J225"/>
  <c r="L225" s="1"/>
  <c r="J224"/>
  <c r="L224" s="1"/>
  <c r="J223"/>
  <c r="L223" s="1"/>
  <c r="J222"/>
  <c r="L222" s="1"/>
  <c r="J221"/>
  <c r="L221" s="1"/>
  <c r="J220"/>
  <c r="L220" s="1"/>
  <c r="J219"/>
  <c r="L219" s="1"/>
  <c r="J218"/>
  <c r="L218" s="1"/>
  <c r="J217"/>
  <c r="L217" s="1"/>
  <c r="J216"/>
  <c r="L216" s="1"/>
  <c r="J215"/>
  <c r="L215" s="1"/>
  <c r="J214"/>
  <c r="L214" s="1"/>
  <c r="J213"/>
  <c r="L213" s="1"/>
  <c r="J212"/>
  <c r="L212" s="1"/>
  <c r="J211"/>
  <c r="L211" s="1"/>
  <c r="J210"/>
  <c r="L210" s="1"/>
  <c r="J209"/>
  <c r="L209" s="1"/>
  <c r="J208"/>
  <c r="L208" s="1"/>
  <c r="J207"/>
  <c r="L207" s="1"/>
  <c r="J206"/>
  <c r="L206" s="1"/>
  <c r="J205"/>
  <c r="L205" s="1"/>
  <c r="J204"/>
  <c r="L204" s="1"/>
  <c r="J203"/>
  <c r="L203" s="1"/>
  <c r="J202"/>
  <c r="L202" s="1"/>
  <c r="J201"/>
  <c r="L201" s="1"/>
  <c r="J200"/>
  <c r="L200" s="1"/>
  <c r="J199"/>
  <c r="J198"/>
  <c r="L198" s="1"/>
  <c r="J197"/>
  <c r="L197" s="1"/>
  <c r="J196"/>
  <c r="L196" s="1"/>
  <c r="J195"/>
  <c r="L195" s="1"/>
  <c r="J194"/>
  <c r="L194" s="1"/>
  <c r="J193"/>
  <c r="L193" s="1"/>
  <c r="J192"/>
  <c r="L192" s="1"/>
  <c r="J191"/>
  <c r="L191" s="1"/>
  <c r="J190"/>
  <c r="L190" s="1"/>
  <c r="J189"/>
  <c r="L189" s="1"/>
  <c r="J188"/>
  <c r="L188" s="1"/>
  <c r="J187"/>
  <c r="L187" s="1"/>
  <c r="J186"/>
  <c r="L186" s="1"/>
  <c r="J185"/>
  <c r="L185" s="1"/>
  <c r="J100"/>
  <c r="L100" s="1"/>
  <c r="J147"/>
  <c r="L147" s="1"/>
  <c r="J148"/>
  <c r="L148" s="1"/>
  <c r="J150"/>
  <c r="L150" s="1"/>
  <c r="J149"/>
  <c r="L149" s="1"/>
  <c r="J146"/>
  <c r="L146" s="1"/>
  <c r="J145"/>
  <c r="J144"/>
  <c r="J143"/>
  <c r="L143" s="1"/>
  <c r="J142"/>
  <c r="J141"/>
  <c r="L141" s="1"/>
  <c r="J138"/>
  <c r="L138" s="1"/>
  <c r="J137"/>
  <c r="L137" s="1"/>
  <c r="J136"/>
  <c r="L136" s="1"/>
  <c r="J135"/>
  <c r="L135" s="1"/>
  <c r="J134"/>
  <c r="L134" s="1"/>
  <c r="J133"/>
  <c r="L133" s="1"/>
  <c r="J132"/>
  <c r="L132" s="1"/>
  <c r="J131"/>
  <c r="L131" s="1"/>
  <c r="J130"/>
  <c r="L130" s="1"/>
  <c r="J129"/>
  <c r="L129" s="1"/>
  <c r="J128"/>
  <c r="J127"/>
  <c r="L127" s="1"/>
  <c r="J126"/>
  <c r="L126" s="1"/>
  <c r="J125"/>
  <c r="J124"/>
  <c r="L124" s="1"/>
  <c r="J123"/>
  <c r="L123" s="1"/>
  <c r="J122"/>
  <c r="L122" s="1"/>
  <c r="J120"/>
  <c r="L120" s="1"/>
  <c r="J119"/>
  <c r="L119" s="1"/>
  <c r="J118"/>
  <c r="L118" s="1"/>
  <c r="J117"/>
  <c r="L117" s="1"/>
  <c r="J116"/>
  <c r="L116" s="1"/>
  <c r="J115"/>
  <c r="L115" s="1"/>
  <c r="J114"/>
  <c r="J113"/>
  <c r="L113" s="1"/>
  <c r="J112"/>
  <c r="L112" s="1"/>
  <c r="J111"/>
  <c r="L111" s="1"/>
  <c r="J110"/>
  <c r="J109"/>
  <c r="L109" s="1"/>
  <c r="J108"/>
  <c r="L108" s="1"/>
  <c r="J107"/>
  <c r="L107" s="1"/>
  <c r="J106"/>
  <c r="L106" s="1"/>
  <c r="J105"/>
  <c r="J104"/>
  <c r="L104" s="1"/>
  <c r="J103"/>
  <c r="L103" s="1"/>
  <c r="J102"/>
  <c r="L102" s="1"/>
  <c r="J101"/>
  <c r="L101" s="1"/>
  <c r="J99"/>
  <c r="L99" s="1"/>
  <c r="J54"/>
  <c r="L54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2"/>
  <c r="L22" s="1"/>
  <c r="J23"/>
  <c r="L23" s="1"/>
  <c r="J24"/>
  <c r="L24" s="1"/>
  <c r="J25"/>
  <c r="L25" s="1"/>
  <c r="J26"/>
  <c r="L26" s="1"/>
  <c r="J27"/>
  <c r="L27" s="1"/>
  <c r="J28"/>
  <c r="L28" s="1"/>
  <c r="J29"/>
  <c r="L29" s="1"/>
  <c r="J30"/>
  <c r="L30" s="1"/>
  <c r="J31"/>
  <c r="L31" s="1"/>
  <c r="J32"/>
  <c r="L32" s="1"/>
  <c r="J33"/>
  <c r="L33" s="1"/>
  <c r="J34"/>
  <c r="L34" s="1"/>
  <c r="J35"/>
  <c r="L35" s="1"/>
  <c r="L36"/>
  <c r="J37"/>
  <c r="L37" s="1"/>
  <c r="J38"/>
  <c r="L38" s="1"/>
  <c r="J39"/>
  <c r="L39" s="1"/>
  <c r="J40"/>
  <c r="L40" s="1"/>
  <c r="J41"/>
  <c r="L41" s="1"/>
  <c r="J42"/>
  <c r="L42" s="1"/>
  <c r="J43"/>
  <c r="L43" s="1"/>
  <c r="J44"/>
  <c r="L44" s="1"/>
  <c r="J45"/>
  <c r="L45" s="1"/>
  <c r="J46"/>
  <c r="L46" s="1"/>
  <c r="J47"/>
  <c r="L47" s="1"/>
  <c r="J48"/>
  <c r="L48" s="1"/>
  <c r="J49"/>
  <c r="L49" s="1"/>
  <c r="J50"/>
  <c r="L50" s="1"/>
  <c r="J51"/>
  <c r="L51" s="1"/>
  <c r="J52"/>
  <c r="L52" s="1"/>
  <c r="J53"/>
  <c r="J55"/>
  <c r="L55" s="1"/>
  <c r="J56"/>
  <c r="L56" s="1"/>
  <c r="J57"/>
  <c r="L57" s="1"/>
  <c r="J58"/>
  <c r="L58" s="1"/>
  <c r="J59"/>
  <c r="L59" s="1"/>
  <c r="J60"/>
  <c r="L60" s="1"/>
  <c r="J61"/>
  <c r="L61" s="1"/>
  <c r="J62"/>
  <c r="L62" s="1"/>
  <c r="J13"/>
  <c r="L13" s="1"/>
  <c r="J505" i="1" l="1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L483" s="1"/>
  <c r="J482"/>
  <c r="J481"/>
  <c r="J480"/>
  <c r="J479"/>
  <c r="L479" s="1"/>
  <c r="J478"/>
  <c r="J477"/>
  <c r="L477" s="1"/>
  <c r="J476"/>
  <c r="L476" s="1"/>
  <c r="J475"/>
  <c r="L475" s="1"/>
  <c r="J474"/>
  <c r="J473"/>
  <c r="J472"/>
  <c r="J471"/>
  <c r="L471" s="1"/>
  <c r="J470"/>
  <c r="J469"/>
  <c r="J468"/>
  <c r="L468" s="1"/>
  <c r="J467"/>
  <c r="J466"/>
  <c r="J465"/>
  <c r="J464"/>
  <c r="J463"/>
  <c r="J462"/>
  <c r="J461"/>
  <c r="L461" s="1"/>
  <c r="J460"/>
  <c r="L460" s="1"/>
  <c r="J459"/>
  <c r="L459" s="1"/>
  <c r="J458"/>
  <c r="J457"/>
  <c r="J456"/>
  <c r="J455"/>
  <c r="J454"/>
  <c r="J453"/>
  <c r="L453" s="1"/>
  <c r="J452"/>
  <c r="L452" s="1"/>
  <c r="J451"/>
  <c r="J450"/>
  <c r="J449"/>
  <c r="J448"/>
  <c r="L448" s="1"/>
  <c r="J447"/>
  <c r="J446"/>
  <c r="J445"/>
  <c r="J444"/>
  <c r="J443"/>
  <c r="L443" s="1"/>
  <c r="J416"/>
  <c r="J415"/>
  <c r="J414"/>
  <c r="J413"/>
  <c r="J412"/>
  <c r="L412" s="1"/>
  <c r="J411"/>
  <c r="J410"/>
  <c r="L410" s="1"/>
  <c r="J409"/>
  <c r="J408"/>
  <c r="J407"/>
  <c r="J406"/>
  <c r="J405"/>
  <c r="J404"/>
  <c r="J403"/>
  <c r="J402"/>
  <c r="J401"/>
  <c r="J400"/>
  <c r="J399"/>
  <c r="J398"/>
  <c r="L398" s="1"/>
  <c r="J397"/>
  <c r="J396"/>
  <c r="J395"/>
  <c r="J394"/>
  <c r="J393"/>
  <c r="J392"/>
  <c r="J391"/>
  <c r="J390"/>
  <c r="J389"/>
  <c r="J388"/>
  <c r="J387"/>
  <c r="J386"/>
  <c r="L386" s="1"/>
  <c r="J385"/>
  <c r="J384"/>
  <c r="L384" s="1"/>
  <c r="J383"/>
  <c r="L383" s="1"/>
  <c r="J382"/>
  <c r="L382" s="1"/>
  <c r="J381"/>
  <c r="J380"/>
  <c r="J379"/>
  <c r="J378"/>
  <c r="L378" s="1"/>
  <c r="J377"/>
  <c r="J376"/>
  <c r="J375"/>
  <c r="J374"/>
  <c r="L374" s="1"/>
  <c r="J373"/>
  <c r="L373" s="1"/>
  <c r="J372"/>
  <c r="L372" s="1"/>
  <c r="J371"/>
  <c r="L371" s="1"/>
  <c r="J370"/>
  <c r="J369"/>
  <c r="L369" s="1"/>
  <c r="J368"/>
  <c r="J367"/>
  <c r="L367" s="1"/>
  <c r="J366"/>
  <c r="J365"/>
  <c r="J364"/>
  <c r="J363"/>
  <c r="J362"/>
  <c r="J361"/>
  <c r="J360"/>
  <c r="L360" s="1"/>
  <c r="J359"/>
  <c r="J358"/>
  <c r="L358" s="1"/>
  <c r="J357"/>
  <c r="L357" s="1"/>
  <c r="J324"/>
  <c r="J337"/>
  <c r="J336"/>
  <c r="L336" s="1"/>
  <c r="J335"/>
  <c r="J334"/>
  <c r="J333"/>
  <c r="J332"/>
  <c r="J331"/>
  <c r="J330"/>
  <c r="L330" s="1"/>
  <c r="J329"/>
  <c r="J328"/>
  <c r="J327"/>
  <c r="J326"/>
  <c r="J325"/>
  <c r="J323"/>
  <c r="J322"/>
  <c r="J321"/>
  <c r="J320"/>
  <c r="J319"/>
  <c r="J318"/>
  <c r="J317"/>
  <c r="J316"/>
  <c r="J315"/>
  <c r="L315" s="1"/>
  <c r="J314"/>
  <c r="J313"/>
  <c r="L313" s="1"/>
  <c r="J312"/>
  <c r="J311"/>
  <c r="J310"/>
  <c r="L310" s="1"/>
  <c r="J309"/>
  <c r="J308"/>
  <c r="L308" s="1"/>
  <c r="J307"/>
  <c r="L307" s="1"/>
  <c r="J306"/>
  <c r="J305"/>
  <c r="L305" s="1"/>
  <c r="J304"/>
  <c r="L304" s="1"/>
  <c r="J303"/>
  <c r="L303" s="1"/>
  <c r="J302"/>
  <c r="J301"/>
  <c r="L301" s="1"/>
  <c r="J300"/>
  <c r="J299"/>
  <c r="L299" s="1"/>
  <c r="J298"/>
  <c r="J297"/>
  <c r="J296"/>
  <c r="L296" s="1"/>
  <c r="J295"/>
  <c r="J294"/>
  <c r="L294" s="1"/>
  <c r="J293"/>
  <c r="J292"/>
  <c r="J291"/>
  <c r="J290"/>
  <c r="J289"/>
  <c r="L289" s="1"/>
  <c r="J288"/>
  <c r="J287"/>
  <c r="L287" s="1"/>
  <c r="J286"/>
  <c r="L286" s="1"/>
  <c r="J285"/>
  <c r="L285" s="1"/>
  <c r="J284"/>
  <c r="J283"/>
  <c r="J282"/>
  <c r="J281"/>
  <c r="J280"/>
  <c r="L280" s="1"/>
  <c r="J279"/>
  <c r="J278"/>
  <c r="L278" s="1"/>
  <c r="J277"/>
  <c r="L277" s="1"/>
  <c r="J276"/>
  <c r="J275"/>
  <c r="L275" s="1"/>
  <c r="J274"/>
  <c r="J273"/>
  <c r="J272"/>
  <c r="J271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L224" s="1"/>
  <c r="J223"/>
  <c r="L223" s="1"/>
  <c r="J222"/>
  <c r="J221"/>
  <c r="J220"/>
  <c r="J219"/>
  <c r="J218"/>
  <c r="J217"/>
  <c r="L217" s="1"/>
  <c r="J216"/>
  <c r="J215"/>
  <c r="J214"/>
  <c r="J213"/>
  <c r="J212"/>
  <c r="J211"/>
  <c r="J210"/>
  <c r="J209"/>
  <c r="J208"/>
  <c r="J207"/>
  <c r="J206"/>
  <c r="J205"/>
  <c r="J204"/>
  <c r="J203"/>
  <c r="L203" s="1"/>
  <c r="J202"/>
  <c r="J201"/>
  <c r="L201" s="1"/>
  <c r="J200"/>
  <c r="J199"/>
  <c r="J198"/>
  <c r="L198" s="1"/>
  <c r="J197"/>
  <c r="L197" s="1"/>
  <c r="J196"/>
  <c r="J195"/>
  <c r="J194"/>
  <c r="L194" s="1"/>
  <c r="J193"/>
  <c r="L193" s="1"/>
  <c r="J192"/>
  <c r="L192" s="1"/>
  <c r="J191"/>
  <c r="J190"/>
  <c r="L190" s="1"/>
  <c r="J189"/>
  <c r="J188"/>
  <c r="L188" s="1"/>
  <c r="J187"/>
  <c r="L187" s="1"/>
  <c r="J186"/>
  <c r="J185"/>
  <c r="L185" s="1"/>
  <c r="J164"/>
  <c r="L164" s="1"/>
  <c r="J163"/>
  <c r="J162"/>
  <c r="J161"/>
  <c r="J160"/>
  <c r="J159"/>
  <c r="J158"/>
  <c r="J157"/>
  <c r="J156"/>
  <c r="J155"/>
  <c r="J154"/>
  <c r="L154" s="1"/>
  <c r="J153"/>
  <c r="J152"/>
  <c r="J151"/>
  <c r="J150"/>
  <c r="J149"/>
  <c r="J148"/>
  <c r="J147"/>
  <c r="J146"/>
  <c r="L146" s="1"/>
  <c r="J145"/>
  <c r="J144"/>
  <c r="J143"/>
  <c r="L143" s="1"/>
  <c r="J142"/>
  <c r="J141"/>
  <c r="J140"/>
  <c r="J139"/>
  <c r="J138"/>
  <c r="J137"/>
  <c r="J136"/>
  <c r="J135"/>
  <c r="J134"/>
  <c r="J133"/>
  <c r="L133" s="1"/>
  <c r="J132"/>
  <c r="L132" s="1"/>
  <c r="J131"/>
  <c r="L131" s="1"/>
  <c r="J130"/>
  <c r="L130" s="1"/>
  <c r="J129"/>
  <c r="J128"/>
  <c r="J127"/>
  <c r="J126"/>
  <c r="J125"/>
  <c r="J124"/>
  <c r="J123"/>
  <c r="J122"/>
  <c r="J121"/>
  <c r="J120"/>
  <c r="J119"/>
  <c r="J118"/>
  <c r="L118" s="1"/>
  <c r="J117"/>
  <c r="L117" s="1"/>
  <c r="J116"/>
  <c r="L116" s="1"/>
  <c r="J115"/>
  <c r="J114"/>
  <c r="L114" s="1"/>
  <c r="J113"/>
  <c r="J112"/>
  <c r="J111"/>
  <c r="L111" s="1"/>
  <c r="J110"/>
  <c r="J109"/>
  <c r="L109" s="1"/>
  <c r="J108"/>
  <c r="L108" s="1"/>
  <c r="J107"/>
  <c r="J106"/>
  <c r="L106" s="1"/>
  <c r="J105"/>
  <c r="J104"/>
  <c r="L104" s="1"/>
  <c r="J103"/>
  <c r="J102"/>
  <c r="J101"/>
  <c r="J100"/>
  <c r="L100" s="1"/>
  <c r="J99"/>
  <c r="L99" s="1"/>
  <c r="J78"/>
  <c r="L78" s="1"/>
  <c r="J79"/>
  <c r="J75"/>
  <c r="J76"/>
  <c r="J77"/>
  <c r="J74"/>
  <c r="J73"/>
  <c r="J72"/>
  <c r="J71"/>
  <c r="L71" s="1"/>
  <c r="J70"/>
  <c r="L70" s="1"/>
  <c r="J69"/>
  <c r="J68"/>
  <c r="J67"/>
  <c r="J66"/>
  <c r="L66" s="1"/>
  <c r="J65"/>
  <c r="J64"/>
  <c r="J63"/>
  <c r="J62"/>
  <c r="L62" s="1"/>
  <c r="J61"/>
  <c r="J60"/>
  <c r="J59"/>
  <c r="J58"/>
  <c r="L58" s="1"/>
  <c r="J57"/>
  <c r="J56"/>
  <c r="J55"/>
  <c r="J54"/>
  <c r="J53"/>
  <c r="J52"/>
  <c r="J51"/>
  <c r="J50"/>
  <c r="J49"/>
  <c r="L49" s="1"/>
  <c r="J48"/>
  <c r="L48" s="1"/>
  <c r="J47"/>
  <c r="J46"/>
  <c r="J45"/>
  <c r="J44"/>
  <c r="J43"/>
  <c r="J42"/>
  <c r="J41"/>
  <c r="J40"/>
  <c r="L40" s="1"/>
  <c r="J39"/>
  <c r="J38"/>
  <c r="J37"/>
  <c r="J36"/>
  <c r="L36" s="1"/>
  <c r="J35"/>
  <c r="J34"/>
  <c r="L34" s="1"/>
  <c r="J33"/>
  <c r="J32"/>
  <c r="L32" s="1"/>
  <c r="J31"/>
  <c r="J30"/>
  <c r="L30" s="1"/>
  <c r="J29"/>
  <c r="J28"/>
  <c r="L28" s="1"/>
  <c r="J27"/>
  <c r="L27" s="1"/>
  <c r="J26"/>
  <c r="L26" s="1"/>
  <c r="J25"/>
  <c r="L25" s="1"/>
  <c r="J24"/>
  <c r="J23"/>
  <c r="J22"/>
  <c r="L22" s="1"/>
  <c r="J21"/>
  <c r="L21" s="1"/>
  <c r="J20"/>
  <c r="L20" s="1"/>
  <c r="J19"/>
  <c r="L19" s="1"/>
  <c r="J18"/>
  <c r="L18" s="1"/>
  <c r="J17"/>
  <c r="J16"/>
  <c r="L16" s="1"/>
  <c r="J15"/>
  <c r="L15" s="1"/>
  <c r="J14"/>
  <c r="L14" s="1"/>
  <c r="J13"/>
</calcChain>
</file>

<file path=xl/sharedStrings.xml><?xml version="1.0" encoding="utf-8"?>
<sst xmlns="http://schemas.openxmlformats.org/spreadsheetml/2006/main" count="5429" uniqueCount="477">
  <si>
    <t>UNIVERSIDAD DE SAN CARLOS DE GUATEMALA</t>
  </si>
  <si>
    <t>CENTRO UNIVERSITARIO DE ORIENTE</t>
  </si>
  <si>
    <t>CARRERA DE MÉDICO Y CIRUJANO</t>
  </si>
  <si>
    <t>CONSOLIDADO</t>
  </si>
  <si>
    <t xml:space="preserve">CATEDRA: </t>
  </si>
  <si>
    <t>DOCENTE:</t>
  </si>
  <si>
    <t>PUNTOS</t>
  </si>
  <si>
    <t>20 Pts.</t>
  </si>
  <si>
    <t>80 Pts.</t>
  </si>
  <si>
    <t>100 Pts.</t>
  </si>
  <si>
    <t>No.</t>
  </si>
  <si>
    <t>CARNÉ</t>
  </si>
  <si>
    <t>NOMBRE</t>
  </si>
  <si>
    <t>1ER. PARCIAL</t>
  </si>
  <si>
    <t>2DO. PARCIAL</t>
  </si>
  <si>
    <t>3ER. PARCIAL</t>
  </si>
  <si>
    <t>4TO. PARCIAL</t>
  </si>
  <si>
    <t>5TO. PARCIAL</t>
  </si>
  <si>
    <t>ACUMULADO</t>
  </si>
  <si>
    <t>EXAMEN FINAL</t>
  </si>
  <si>
    <t>TOTAL</t>
  </si>
  <si>
    <t>CATEDRATICA</t>
  </si>
  <si>
    <t>PRIMER AÑO</t>
  </si>
  <si>
    <t>LICENCIADA NINETH CANJURA</t>
  </si>
  <si>
    <t>Quijada Ruballos, Gerson Isidro</t>
  </si>
  <si>
    <t>Hernández Valdéz, Astrid Paola</t>
  </si>
  <si>
    <t>Cordoba Reyes, Nely</t>
  </si>
  <si>
    <t>Soto Fiallos, Virginia María</t>
  </si>
  <si>
    <t>Marroquín Fuentes, Nestor Enrique</t>
  </si>
  <si>
    <t>Alfaro Vásquez, Kristal Yvonne</t>
  </si>
  <si>
    <t>Marroquín Grajeda, Heydi Mariela</t>
  </si>
  <si>
    <t>Gómez Garza, Alexander Waldemar</t>
  </si>
  <si>
    <t>Archila Estrada, María Luisa</t>
  </si>
  <si>
    <t>Yaque Monroy, Astrid Yuliza</t>
  </si>
  <si>
    <t>Díaz Geronimo, Juliana Hercilia</t>
  </si>
  <si>
    <t>Rodríguez Mencos, Sayda María</t>
  </si>
  <si>
    <t>Mateo Galicia, Shirley Ninneth</t>
  </si>
  <si>
    <t>Duarte Medina. Iris Lorena</t>
  </si>
  <si>
    <t>Duarte Medina, Astrid Lorena</t>
  </si>
  <si>
    <t>Lemus Moscoso, Flor de María</t>
  </si>
  <si>
    <t>Lemus Acosta, Lucia Marianela</t>
  </si>
  <si>
    <t>Gutierrez Sosa, Alba Marina</t>
  </si>
  <si>
    <t>García Jímenez, Víctor Mamfredo</t>
  </si>
  <si>
    <t>Callejas Quijada, Luis Alberto</t>
  </si>
  <si>
    <t>Cumatz Sinay, Pablo Jesús</t>
  </si>
  <si>
    <t>Molina Hernández, Pedro Pablo</t>
  </si>
  <si>
    <t>Berganza Galvéz, Analucia</t>
  </si>
  <si>
    <t>Azmitia Meng, Jennifer Mariela</t>
  </si>
  <si>
    <t>Gónzalez Gordillo, Pablo Daniel</t>
  </si>
  <si>
    <t>Cardona Lara, Norvin Leonel</t>
  </si>
  <si>
    <t>Castillo Morales, Jorge Ricardo</t>
  </si>
  <si>
    <t xml:space="preserve">Hernández Rivas, Ana Julia </t>
  </si>
  <si>
    <t>Pérez Villeda, Sucelly Raquel</t>
  </si>
  <si>
    <t>Peña Abrego, Conrado Hany Hizaith</t>
  </si>
  <si>
    <t>Grignon Pérez, Oran Towson</t>
  </si>
  <si>
    <t>Dávila Domínguez, Diana Mishell</t>
  </si>
  <si>
    <t>Martínez Isales, Oscar Efraín</t>
  </si>
  <si>
    <t>Alvarado Santizo, Nancy Azucena</t>
  </si>
  <si>
    <t>Aldana Orellana, Jhessy Carmí</t>
  </si>
  <si>
    <t>Cordón Escobar, Jazmín Alejandra</t>
  </si>
  <si>
    <t>Valdéz Barrientos, Jimmy Misael</t>
  </si>
  <si>
    <t>Recinos López, Sandra Eugenia</t>
  </si>
  <si>
    <t>Ortíz Marroquín, Heidy María de Lourdes</t>
  </si>
  <si>
    <t>Gonzáles Pérez, Julia Saraí</t>
  </si>
  <si>
    <t>Compá Orellana, Alejandra Maribel</t>
  </si>
  <si>
    <t>García Archila, Luis Estuardo</t>
  </si>
  <si>
    <t>Barahona Salguero, Glendy Yessenía</t>
  </si>
  <si>
    <t>López Mansilla, Massielle Antonieta</t>
  </si>
  <si>
    <t>Gutierrez Enamorado, Joscellyn Carolina</t>
  </si>
  <si>
    <t>Zeceña Arévalo, José Ramiro</t>
  </si>
  <si>
    <t>Chán Burgos, Josue Domingo</t>
  </si>
  <si>
    <t xml:space="preserve">Calderón Ramírez, Ilonka Lily </t>
  </si>
  <si>
    <t>Espino Hernández, Geraldine Zuseth</t>
  </si>
  <si>
    <t>Flores Monroy, Elfego Enrique</t>
  </si>
  <si>
    <t>Bernal Yanes, Sandra Paola</t>
  </si>
  <si>
    <t>Cerón Mazariegos, Héctor Alexander</t>
  </si>
  <si>
    <t>Sagastume Velásquez, Elisa Maricel</t>
  </si>
  <si>
    <t>Sandoval Martínez, Vivián Ibeth</t>
  </si>
  <si>
    <t>Morales Pérez, Silvia Carolina</t>
  </si>
  <si>
    <t>Cruz López, Brenda Anahí</t>
  </si>
  <si>
    <t>Cano Muralles, Joseandrés de Jesús</t>
  </si>
  <si>
    <t>De León Sagastume, Gadiel Raúl</t>
  </si>
  <si>
    <t>Saavedra Alvarado, Nancy Elizabeth</t>
  </si>
  <si>
    <t>González García, Rosa Margarita</t>
  </si>
  <si>
    <t>Tobar Salazar, Karla Maricruz</t>
  </si>
  <si>
    <t>Ardón Valdés, Andrea Nineth</t>
  </si>
  <si>
    <t>Rodríguez López, Erick Josué</t>
  </si>
  <si>
    <t>Morales Guillén, Diego Alejandro</t>
  </si>
  <si>
    <t>Arroyo Zamora, Lourdes María Elisa</t>
  </si>
  <si>
    <t>España Pimentel, Emerson Gabriel</t>
  </si>
  <si>
    <t>Orozco Ramírez, Rudyard Dwight</t>
  </si>
  <si>
    <t>SECCIÓN:</t>
  </si>
  <si>
    <t>"A"</t>
  </si>
  <si>
    <t>15 Pts.</t>
  </si>
  <si>
    <t>5 Pts.</t>
  </si>
  <si>
    <t>Zona</t>
  </si>
  <si>
    <t>Licda. Nineth Canjura</t>
  </si>
  <si>
    <t>Biología Celular</t>
  </si>
  <si>
    <t>BIOLOGÍA CELULAR</t>
  </si>
  <si>
    <t>"B"</t>
  </si>
  <si>
    <t>LICENCIADA FLOR DE MARÍA URZÚA</t>
  </si>
  <si>
    <t>Licda. Flor de María Urzúa</t>
  </si>
  <si>
    <t>López Cameros, Merelin Rocio</t>
  </si>
  <si>
    <t>Godoy Quijada, Olga José</t>
  </si>
  <si>
    <t>Barrientos García, Wilder Enrique</t>
  </si>
  <si>
    <t>Montejo Ávalos, Ileana Beatriz</t>
  </si>
  <si>
    <t>Pérez Marcos, Imelda Adeli</t>
  </si>
  <si>
    <t>Flores Alvarado, Jessica Edlin</t>
  </si>
  <si>
    <t>Méndez Orrego, Jennifer del Mar</t>
  </si>
  <si>
    <t>Chali Icu, Fredy Manolo</t>
  </si>
  <si>
    <t>Chacón Gongora, Tania Sofia</t>
  </si>
  <si>
    <t>Cortez Sotz, Dario Neri Mariano</t>
  </si>
  <si>
    <t>Chacón Linares, Joyce Daffne Zussette</t>
  </si>
  <si>
    <t>Barillas Pacheco, Ramiro Rafael</t>
  </si>
  <si>
    <t>Medina Martínez, Ruth Analy</t>
  </si>
  <si>
    <t>Wong de los Angeles, Karen Zuleima</t>
  </si>
  <si>
    <t>Aldana Monroy, Diana Yamileth</t>
  </si>
  <si>
    <t>Illescas Pazos, Johselyn Zussette</t>
  </si>
  <si>
    <t>Villeda Solis, Andrea Nataly</t>
  </si>
  <si>
    <t>Franco Hernández, Sindi Damaris</t>
  </si>
  <si>
    <t>Galindo Alonzo, Estela Poullette</t>
  </si>
  <si>
    <t>Blanco Estrada, Julia Liceth</t>
  </si>
  <si>
    <t>Alvarado Blanco, Cristian Geovany</t>
  </si>
  <si>
    <t>Alvarado Pineda, Carlos Pablo</t>
  </si>
  <si>
    <t>De la Cruz Xo, Abisai Abdias</t>
  </si>
  <si>
    <t>Lux Chajón, José Feliciano</t>
  </si>
  <si>
    <t>Ramos Díaz, Norma Elizabeth</t>
  </si>
  <si>
    <t>Manticorena Saldivar, María</t>
  </si>
  <si>
    <t>Carrillo Sarceño, Wendy Antonieta</t>
  </si>
  <si>
    <t>Juárez Ponce, Nínive Maryori</t>
  </si>
  <si>
    <t>Yes Tobar, Tanya Alejandrina</t>
  </si>
  <si>
    <t>Vivar Castro, Dulce María</t>
  </si>
  <si>
    <t>Camey Esteban, Jakelyn Xiomara</t>
  </si>
  <si>
    <t>Navas Salazar, Olga Janeth</t>
  </si>
  <si>
    <t>Quijada Sagastume, Sindy María</t>
  </si>
  <si>
    <t>Cordero Pesquera, Mayra Lisseth</t>
  </si>
  <si>
    <t>Rodríguez Garnica, Lourdes María</t>
  </si>
  <si>
    <t>Cotom Orellana, Kelvyn Alexander</t>
  </si>
  <si>
    <t>Morales Pinto, Edgardo Humberto</t>
  </si>
  <si>
    <t>Coronado Sagastume, Marioly Areli</t>
  </si>
  <si>
    <t>Chacón Barillas, Karen Lisseth</t>
  </si>
  <si>
    <t>Echeverría Castañeda, Ada Leonely</t>
  </si>
  <si>
    <t>Herrera, Jaqueline Julissa</t>
  </si>
  <si>
    <t>Villas Boas Aldana, Dhebora</t>
  </si>
  <si>
    <t>Noguera Rosal, Jorge Mario</t>
  </si>
  <si>
    <t>Pinelo Barrientos, Anita Carolina</t>
  </si>
  <si>
    <t>Yaquián Pérez, Allan Alfredo</t>
  </si>
  <si>
    <t>Bojorquez Titas, Mergan Humberto</t>
  </si>
  <si>
    <t>Zuñiga de la Rosa, Berta Karina</t>
  </si>
  <si>
    <t>Teo Ochaeta, Luis Felipe</t>
  </si>
  <si>
    <t>Caal Palma, Mynor Josúe alexander</t>
  </si>
  <si>
    <t>Flores Ramírez, Lisbeth Teresa</t>
  </si>
  <si>
    <t>Cujá Monroy, Yessica Paola</t>
  </si>
  <si>
    <t>Aldana Burgos, Heileen Eunice</t>
  </si>
  <si>
    <t>Jiménez Sánchez, Roberto Fernando</t>
  </si>
  <si>
    <t>Linares Méndez, Diana Cecilia</t>
  </si>
  <si>
    <t>Rosales  Escobar, Veronica Cecilia</t>
  </si>
  <si>
    <t>Pacheco Salguero, Alicia del Rocio</t>
  </si>
  <si>
    <t>Gómez Fuentes, Mónica Maricela</t>
  </si>
  <si>
    <t>Blanco Estrada, José Obdulio</t>
  </si>
  <si>
    <t>Andrino López, Diego Adolfo</t>
  </si>
  <si>
    <t>Chacón Hernández, Nora Patricia</t>
  </si>
  <si>
    <t>Chang Esquivel, Carlos Enrique</t>
  </si>
  <si>
    <t>Molina Rodríguez, Quitzé Fernanda</t>
  </si>
  <si>
    <t>Ramírez Cazún, Carlos Alexis</t>
  </si>
  <si>
    <t>Salguero Aguilar, Elmer Adalberto</t>
  </si>
  <si>
    <t>Orellana Córdova, Mildra Rosibel</t>
  </si>
  <si>
    <t>Díaz Castillo, Irma Yolani</t>
  </si>
  <si>
    <t>"C"</t>
  </si>
  <si>
    <t>Archila Orellana, Denisse Melina</t>
  </si>
  <si>
    <t>Leal Taracena, Cristhian Leonel</t>
  </si>
  <si>
    <t>Zapata Moreira, Pablo Daniel</t>
  </si>
  <si>
    <t>Cerna Veliz, Leslie Samantha</t>
  </si>
  <si>
    <t>García Socop, Yesenia del Milagro</t>
  </si>
  <si>
    <t>Ramirez Lucero, Mynor Josue</t>
  </si>
  <si>
    <t>Aguilar Aguirre, Erika Maricela</t>
  </si>
  <si>
    <t>Soto Cerón, Josue Fernando</t>
  </si>
  <si>
    <t>Miguel Espinoza, Sussely Vanesa</t>
  </si>
  <si>
    <t>Portillo Vargas, Kenneth Arturo</t>
  </si>
  <si>
    <t>Bonilla Quijada, Claudio Joel</t>
  </si>
  <si>
    <t>Lemus Ramos, Vilma Guadalupe</t>
  </si>
  <si>
    <t>Figueroa Rodas, Milton Estuardo</t>
  </si>
  <si>
    <t>Pérez Pérez, Sandra Luzvinda</t>
  </si>
  <si>
    <t>Monroy Marquez, Juan Carlos Andres</t>
  </si>
  <si>
    <t>Batz Itzep, Mynor Edwin</t>
  </si>
  <si>
    <t>Sandoval Maldonado, Shirley Karen</t>
  </si>
  <si>
    <t>Goshop Sandoval, Catherinne Andrea</t>
  </si>
  <si>
    <t>Icu Peren, Eduardo Emmanuel</t>
  </si>
  <si>
    <t>Ical Cojoc, Mildred Yaneth de Jesús</t>
  </si>
  <si>
    <t>Utrera Salazar, Mario Rodolfo</t>
  </si>
  <si>
    <t>López Miranda, Silvia Karina</t>
  </si>
  <si>
    <t>Argueta Pérez, Xayana Lisamar</t>
  </si>
  <si>
    <t>Chán Castellanos, Paola Anaité</t>
  </si>
  <si>
    <t>Monroy Ortíz, Delia María Octavila</t>
  </si>
  <si>
    <t>Chacón Valdés, Raúl Otto Fernando</t>
  </si>
  <si>
    <t>Archila Archila, Walter Josue</t>
  </si>
  <si>
    <t>Rosales Rodríguez, Rosalyn</t>
  </si>
  <si>
    <t>Soto Agustín, Daniela Alejandra</t>
  </si>
  <si>
    <t>Monteros Arbizú, Fátima del Carmen</t>
  </si>
  <si>
    <t>Contreras Vaides, María Edith</t>
  </si>
  <si>
    <t>Zapeth Ovalle, Kemedy Jadier</t>
  </si>
  <si>
    <t>Lemus Lemus, Aylwín Obed</t>
  </si>
  <si>
    <t>Rosales Recinos, Andrea Melissa</t>
  </si>
  <si>
    <t>Lechuga Salazar, Iván Alejandro</t>
  </si>
  <si>
    <t>Hernández Orellana, Evelyn Sucely</t>
  </si>
  <si>
    <t>De León Maldonado, Edson Daniel</t>
  </si>
  <si>
    <t>Alvarez Aguilar, Abner Vicente</t>
  </si>
  <si>
    <t>Méndez Ramos, Loyda Esther</t>
  </si>
  <si>
    <t>Aroche García, Aldrín Gerardo</t>
  </si>
  <si>
    <t>De León García, David Misael</t>
  </si>
  <si>
    <t>Matías Anléu, Isis Jacaranda</t>
  </si>
  <si>
    <t>Orellana Salguero, Ottoniel Eliseo</t>
  </si>
  <si>
    <t>Moscoso Agustín, Elda Gabriela</t>
  </si>
  <si>
    <t>Lantán Martínez, Yoselin Elízabeth</t>
  </si>
  <si>
    <t>Palacios Escobar, Mélida Sureth</t>
  </si>
  <si>
    <t>Umaña González, Helen Alejandra</t>
  </si>
  <si>
    <t>Paiz y Paiz, Dulce María</t>
  </si>
  <si>
    <t>Montoya Pérez, Karen Lucía</t>
  </si>
  <si>
    <t>Cumez Simon, Samuel Benjamín</t>
  </si>
  <si>
    <t>Ramírez Ordoñez, Mayra Cecilia</t>
  </si>
  <si>
    <t>Cerrate Mejía, Lucía Fernanda</t>
  </si>
  <si>
    <t>Cifuentes, Mónica Rocío</t>
  </si>
  <si>
    <t>Toc Pérez, Marta María</t>
  </si>
  <si>
    <t>Ramírez Ordoñez, Mayra Alejandra</t>
  </si>
  <si>
    <t>Castañeda Morales, Telmita Lizeth</t>
  </si>
  <si>
    <t>Chew Juárez, Estuardo Marcolenny</t>
  </si>
  <si>
    <t>Cumez Semeyá, Hugo Eliseo</t>
  </si>
  <si>
    <t>Ramírez García, Sandra María</t>
  </si>
  <si>
    <t>Aguilar Aroche, Glida Rossemary</t>
  </si>
  <si>
    <t>Ayala Menéndez, Glendy Prissilla</t>
  </si>
  <si>
    <t>Tobar Rodríguez, Adriana Alejandra</t>
  </si>
  <si>
    <t>Ruíz Valdez, Mariela Yuliza</t>
  </si>
  <si>
    <t>Contreras Reyes, Ana Lucia</t>
  </si>
  <si>
    <t>"D"</t>
  </si>
  <si>
    <t>García López, Marlon Estuardo</t>
  </si>
  <si>
    <t>Herrera Morales, Ericka Francella</t>
  </si>
  <si>
    <t>Valle Batres, Luis Fernando</t>
  </si>
  <si>
    <t>Bustamante Campaneros, Carlos Ever</t>
  </si>
  <si>
    <t>Cordero Chavarria, Julieta Beatriz</t>
  </si>
  <si>
    <t>Álvarez Solares, Brenda Marisol</t>
  </si>
  <si>
    <t>Navarro Méndez, Kimberly Lucrecia</t>
  </si>
  <si>
    <t>Méndez Carrillo, Mary Daniela</t>
  </si>
  <si>
    <t>Palma Rodríguez, Juan Antonio</t>
  </si>
  <si>
    <t>Mariscal Chacón, Jorge Alberto</t>
  </si>
  <si>
    <t>Sarceño Asencio, Aztrid Alondra</t>
  </si>
  <si>
    <t>Martínez Felipe, Genesis Beberly Yanet</t>
  </si>
  <si>
    <t>Calderón Chinchilla, Fredy José</t>
  </si>
  <si>
    <t>Castillo Calderón, Lesly Yessenia</t>
  </si>
  <si>
    <t>Agustín Gónzales, Victor Alfonso</t>
  </si>
  <si>
    <t>Pangán Alvarado, Rony Telesforo</t>
  </si>
  <si>
    <t>Gutierrez Rodas, Susana Isabel</t>
  </si>
  <si>
    <t>León Poncio, Mayra Gregoria Josefina</t>
  </si>
  <si>
    <t>Lucero Ruano, Daniel Arnoldo</t>
  </si>
  <si>
    <t>Coxaj Peruch, José Ernesto</t>
  </si>
  <si>
    <t>López Cardona, Dalsy Miriam</t>
  </si>
  <si>
    <t>Florian Marroquín, Marjory Solangel</t>
  </si>
  <si>
    <t>Ramírez Majía, María José</t>
  </si>
  <si>
    <t>Estrada Barrios, Diana Elizabeth</t>
  </si>
  <si>
    <t>Mendéz Ramírez, Kimberly Mayari</t>
  </si>
  <si>
    <t>Serrano Lima, Josué Uriel</t>
  </si>
  <si>
    <t>Miranda Ovalle, Axel Rafael</t>
  </si>
  <si>
    <t>López Pichiya, Zara Yadira Susely</t>
  </si>
  <si>
    <t>Flores Solis, José Emmanuel</t>
  </si>
  <si>
    <t>Sobvio Barrientos, Eva Irena</t>
  </si>
  <si>
    <t>Vásquez Florián, Dina Rosamérica</t>
  </si>
  <si>
    <t>Franco Pérez, Edwin Otoniel</t>
  </si>
  <si>
    <t>Osorio Miranda, Walter Antonio</t>
  </si>
  <si>
    <t>Esquivel Cordón, Josue Daniel</t>
  </si>
  <si>
    <t>Cabrera Arteaga, Valeria María</t>
  </si>
  <si>
    <t>Barillas Beteta, Shwanda Gabriela</t>
  </si>
  <si>
    <t>Lemus Cantoral, Irving Josué</t>
  </si>
  <si>
    <t>Aguirre Duarte, Josselyn María</t>
  </si>
  <si>
    <t>Soto García, Rocío Isabel</t>
  </si>
  <si>
    <t>Morales Díaz, Karin Lorena</t>
  </si>
  <si>
    <t>Aldana Mayorga, Lucía Cristina</t>
  </si>
  <si>
    <t>Juárez Juárez, Marycarmen Maité</t>
  </si>
  <si>
    <t>España Villeda, Marvin Samuel</t>
  </si>
  <si>
    <t>Medina Menéndez, Marylim Victoria</t>
  </si>
  <si>
    <t>Ramírez Mejía, César Adolfo</t>
  </si>
  <si>
    <t>Orellana Salguero, Miguel Estuardo</t>
  </si>
  <si>
    <t>Salazar Chinchilla, Wendy Maraí</t>
  </si>
  <si>
    <t>Cárdenas Cabrera, José Natanael</t>
  </si>
  <si>
    <t>Mejía Cabrera, Inmer Giovany</t>
  </si>
  <si>
    <t>Ochoa Corado, Angel Santiago</t>
  </si>
  <si>
    <t>Ureta Cruz, Dulce María</t>
  </si>
  <si>
    <t>Tórtola Casprowitz, Sergio Andres</t>
  </si>
  <si>
    <t>Poiterin Barrientos, Vinicio Andree</t>
  </si>
  <si>
    <t>Cutzal Tucubal, Santos</t>
  </si>
  <si>
    <t>López Sandoval, Vasty Annabella</t>
  </si>
  <si>
    <t>Serrano Lemus, Lucynda Margoth</t>
  </si>
  <si>
    <t>Arana Pérez, Sandra Ileana</t>
  </si>
  <si>
    <t>Ramírez Agustín, Karen Roxana</t>
  </si>
  <si>
    <t>Díaz Jímenez, Julio David</t>
  </si>
  <si>
    <t>Barrera Roque, Claudia Jimena</t>
  </si>
  <si>
    <t>Cardona Sandoval, Roxana Mariel</t>
  </si>
  <si>
    <t>Mendoza Bonilla, Emely Cristol</t>
  </si>
  <si>
    <t>Quiñónez Raymundo, Félix Yubini</t>
  </si>
  <si>
    <t>Juárez León, Guillermo Eduardo</t>
  </si>
  <si>
    <t>Pérez Quibajá, Mayra Lorena</t>
  </si>
  <si>
    <t>López Benavente, José Carlos</t>
  </si>
  <si>
    <t>"F"</t>
  </si>
  <si>
    <t>Enriquez Samayoa, Karla Estefania</t>
  </si>
  <si>
    <t>Mazariegos Pérez, Issis Karina</t>
  </si>
  <si>
    <t>Mejía Peñate, Ana Rocío</t>
  </si>
  <si>
    <t>Trujillo Morales, María José</t>
  </si>
  <si>
    <t>Galvéz Medina, Andrea Fabiola</t>
  </si>
  <si>
    <t>Vásquez Enriquez, Maynor Rafael</t>
  </si>
  <si>
    <t>Portillo Duarte, Thelma Dinora</t>
  </si>
  <si>
    <t>Oliva Picen, Mauricio Fernando</t>
  </si>
  <si>
    <t>Lima Juárez, Otto Leonidas</t>
  </si>
  <si>
    <t>López García, Azucena Sarai</t>
  </si>
  <si>
    <t>Colindres Lemus, Evelin Marina</t>
  </si>
  <si>
    <t>Valdéz Archila, Elisa Carolina</t>
  </si>
  <si>
    <t>Lemus Hernández, Yenmmy Zucely</t>
  </si>
  <si>
    <t>Madrid Oliva, Stephanie Odeth</t>
  </si>
  <si>
    <t>Silvestre Matias, Andoni Brian</t>
  </si>
  <si>
    <t>Noguera Pineda, Gerson Merari</t>
  </si>
  <si>
    <t xml:space="preserve">Rosales, Elizabeth Rosseli </t>
  </si>
  <si>
    <t>Mencos Paredes, Edwin Santiago</t>
  </si>
  <si>
    <t>Pereira Mellado, Candida Soledad</t>
  </si>
  <si>
    <t>Medina Pinto, Karla Ivonne</t>
  </si>
  <si>
    <t>López Morales, Braulio Alejandro</t>
  </si>
  <si>
    <t>Rogel Ovando, María Alejandra</t>
  </si>
  <si>
    <t>Méndez Castillo, Allan Fernando</t>
  </si>
  <si>
    <t>Estrada Álvarez, Ludwing Dánilo</t>
  </si>
  <si>
    <t>Sandoval Rosales, Cristopher Roberto</t>
  </si>
  <si>
    <t>Martínez Tobar, Kehilly Mery</t>
  </si>
  <si>
    <t>Ixcayau Utuy, Lesly Noemi</t>
  </si>
  <si>
    <t>Pérez Estrada, Lourdes Fabiola</t>
  </si>
  <si>
    <t>Co Chón, Alba Betzabe</t>
  </si>
  <si>
    <t>Leiva Frasser, Jhonathan Alexander</t>
  </si>
  <si>
    <t>Osorio Higueros, Marielos Grace Kelly</t>
  </si>
  <si>
    <t>Rojas Somingo, María Guadalupe</t>
  </si>
  <si>
    <t>Sandoval Salguero, Josué Roberto</t>
  </si>
  <si>
    <t>Veliz Rodríguez, Ana María</t>
  </si>
  <si>
    <t>Lara Tejeda, Kevin Saúl</t>
  </si>
  <si>
    <t>Orellana Gregorio, Osmundo Elí</t>
  </si>
  <si>
    <t>Molina Estrada, Allan Keithel</t>
  </si>
  <si>
    <t>Figueroa Solís, Randy Yesid</t>
  </si>
  <si>
    <t>Mayorga Ipiña, Jennifer Nohemi</t>
  </si>
  <si>
    <t>Paz Lemus, Jorge Eduardo</t>
  </si>
  <si>
    <t>López Chacón, José Luís</t>
  </si>
  <si>
    <t>Solares Ramírez, Cíndy Nineth</t>
  </si>
  <si>
    <t>Pérez Herrera, Héctor Ulises</t>
  </si>
  <si>
    <t>Samayoa Silvestre, Byron Alberto</t>
  </si>
  <si>
    <t>Archila Nuñez, Brenda Jaoqueline Waleska</t>
  </si>
  <si>
    <t>Quevedo Álvarez, Delsi Reberssi</t>
  </si>
  <si>
    <t>López González, Rosalío</t>
  </si>
  <si>
    <t>Quiñonez Irungaray, Juan Carlos Francisco</t>
  </si>
  <si>
    <t>Paz Burgos, Mari Yojana Ivet</t>
  </si>
  <si>
    <t>López Orozco, Rosmery Isabel</t>
  </si>
  <si>
    <t>Marroquín Soto, Yashira Azucena</t>
  </si>
  <si>
    <t>Chacón Vidal, Grecia Nineth</t>
  </si>
  <si>
    <t>Orozco Ramírez, Kelita Madián</t>
  </si>
  <si>
    <t>Morataya León, Keyla Yoriany</t>
  </si>
  <si>
    <t>Cifuentes Monterroso, Carmen Sofía</t>
  </si>
  <si>
    <t>Roca Cabrejo, Lidia Ines</t>
  </si>
  <si>
    <t>Miss Retana. Karen Cecilia</t>
  </si>
  <si>
    <t>Avila González, Kevin Rafael</t>
  </si>
  <si>
    <t>Guzmán León, Melissa Anabell</t>
  </si>
  <si>
    <t>Ruiz Segura, Jessica Virginia</t>
  </si>
  <si>
    <t>Kuylen Megar, René Miguel</t>
  </si>
  <si>
    <t>Agustín García, Brenda Eunice</t>
  </si>
  <si>
    <t>Fuentes Gutiérrez, Bonnie Massiel</t>
  </si>
  <si>
    <t>Fuentes Sandoval, Mariela Anahí</t>
  </si>
  <si>
    <t>"E"</t>
  </si>
  <si>
    <t>Trujillo Morales, Ileana del Rosario</t>
  </si>
  <si>
    <t>Rodríguez Cunsin, Beberly Luisana</t>
  </si>
  <si>
    <t>Illescas Castillo, Juan Carlos</t>
  </si>
  <si>
    <t>Tax Monge, Josué Abel</t>
  </si>
  <si>
    <t>Pinzón Peralta, Iván Carlos José</t>
  </si>
  <si>
    <t>Samayoa Ramírez, Osman Alexander</t>
  </si>
  <si>
    <t>Molina Reyes, Axel Antonio</t>
  </si>
  <si>
    <t>Carcamo Morales, Tatiana Patricia</t>
  </si>
  <si>
    <t>Colocho Castillo, Christian Paul</t>
  </si>
  <si>
    <t>Palacios Jeréz, Alan Iván</t>
  </si>
  <si>
    <t>Marín Morales, Jennifer de María</t>
  </si>
  <si>
    <t>Dieguez Muralles, Brenda Isabel</t>
  </si>
  <si>
    <t>Díaz Picón, Catherinne Oliva</t>
  </si>
  <si>
    <t>Hernández Gudiel, Francisco Antonio</t>
  </si>
  <si>
    <t>Villela Calderón, Napoleon Humberto</t>
  </si>
  <si>
    <t>Majía Espinoza, Danis Anakarem</t>
  </si>
  <si>
    <t>Morales Xitumul, Darly Teresa Anaite</t>
  </si>
  <si>
    <t>Martínez Galicia, Gabriel Francisco</t>
  </si>
  <si>
    <t>Girón Mejía, José Alejandro</t>
  </si>
  <si>
    <t>Zepeda Orozco, Juan Carlos</t>
  </si>
  <si>
    <t>Linares Aldana, Keren Ixmucané</t>
  </si>
  <si>
    <t>Morán de León, Ingrid Gabriela</t>
  </si>
  <si>
    <t>Díaz Medrano, Karem María</t>
  </si>
  <si>
    <t>Tovar Reyna, María Mercedes</t>
  </si>
  <si>
    <t>Hernández Díaz, Juan Carlos</t>
  </si>
  <si>
    <t>Escoto Cerrato, José Alejandro</t>
  </si>
  <si>
    <t>Villas Boas Aldana, Emily Juliana</t>
  </si>
  <si>
    <t>Villas Boas Aldana, Erica Mabelita</t>
  </si>
  <si>
    <t>Guerra Hernández, Blanca Mariela</t>
  </si>
  <si>
    <t>Vaquiax Martínez, Marcouny René</t>
  </si>
  <si>
    <t>Montalvan Palma, Norma Carolina</t>
  </si>
  <si>
    <t>Rubio Trabanino, Mario Alfredo</t>
  </si>
  <si>
    <t>Valdéz Godoy, Kelvin Obed</t>
  </si>
  <si>
    <t>Retana Mejía, Yazmín Ivonne</t>
  </si>
  <si>
    <t>Donis Trigueño, Wendy Marisol</t>
  </si>
  <si>
    <t>González Espina, Hugo Enrique</t>
  </si>
  <si>
    <t>Duarte Alarcón, Favio Humberto</t>
  </si>
  <si>
    <t>Gutierrez Del Cid, Angela Gabriela</t>
  </si>
  <si>
    <t>Marroquín Monroy, Julia Margarita</t>
  </si>
  <si>
    <t>Del Cid Rivera, Allison Ivonne</t>
  </si>
  <si>
    <t>Martínez Flores, Gertudris Alejandra</t>
  </si>
  <si>
    <t>Velásquez González, Sebastián Josué</t>
  </si>
  <si>
    <t>García Saravía, Karla</t>
  </si>
  <si>
    <t>Hernández Sabán, Zuly Aidé</t>
  </si>
  <si>
    <t>Herrera Dávila, Yury Ivonne</t>
  </si>
  <si>
    <t>De León Fong, María del Rosario</t>
  </si>
  <si>
    <t>Gómez Vielman, Gloria Vanessa</t>
  </si>
  <si>
    <t>Pérez Villagrán, Sandy Paola</t>
  </si>
  <si>
    <t>Chavajay González, Devik Josue</t>
  </si>
  <si>
    <t>Esquivel Sandoval, Adenz Alberto Vosbeldo</t>
  </si>
  <si>
    <t>Leiva Gallardo, María Alejandra</t>
  </si>
  <si>
    <t>Peña Morán, Juan Carlos</t>
  </si>
  <si>
    <t>Shuyá Navarro, Alan Jossué</t>
  </si>
  <si>
    <t>Martínez Ortíz, Edras Samuel</t>
  </si>
  <si>
    <t>Cetino Barrera, Cesia Esthefania</t>
  </si>
  <si>
    <t>Sagastume Martínez, María Reyna</t>
  </si>
  <si>
    <t>Gallo Salguero, Jesús Eduardo</t>
  </si>
  <si>
    <t>Cos Umul, Delsy Rocio</t>
  </si>
  <si>
    <t>Citalán Amaro, Juan</t>
  </si>
  <si>
    <t>Landero Pérez, Josias Angelito</t>
  </si>
  <si>
    <t>BIOESTADISTICA</t>
  </si>
  <si>
    <t>INGENIERO GUILLERMO MARROQUÍN</t>
  </si>
  <si>
    <t>Granados Rivas, Pablo José Benjamín</t>
  </si>
  <si>
    <t>Ing. Guillermo Marroquín</t>
  </si>
  <si>
    <t>CATEDRATICO</t>
  </si>
  <si>
    <t>Bioestadística</t>
  </si>
  <si>
    <t>anulado</t>
  </si>
  <si>
    <t>LICENCIADO MARIO NOGUERA</t>
  </si>
  <si>
    <t>Lic. Mario Noguera</t>
  </si>
  <si>
    <t>12 Pts.</t>
  </si>
  <si>
    <t>Portillo Jordán, Andrea Marisol</t>
  </si>
  <si>
    <t>FISICA</t>
  </si>
  <si>
    <t>INGENIERO EMERIO GUEVARA</t>
  </si>
  <si>
    <t>Ing. Emerio Guevara</t>
  </si>
  <si>
    <t xml:space="preserve">Fisica </t>
  </si>
  <si>
    <t>14 Pts.</t>
  </si>
  <si>
    <t>10 Pts.</t>
  </si>
  <si>
    <t>Palma López, Kevin Hudiny</t>
  </si>
  <si>
    <t>Esmerjaud Leiva, Joselin Eunice</t>
  </si>
  <si>
    <t>QUÍMICA</t>
  </si>
  <si>
    <t>LICENCIADO ALEJANDRO LINARES</t>
  </si>
  <si>
    <t>Lic. Alejandro Linares</t>
  </si>
  <si>
    <t>Química</t>
  </si>
  <si>
    <t>LICENCIADA FLOR URZÚA</t>
  </si>
  <si>
    <t>Licda. Flor Urzúa</t>
  </si>
  <si>
    <t>Linares Aldana, Karen Ixmucane</t>
  </si>
  <si>
    <t>DOCTORA GRACIELA ICAZA</t>
  </si>
  <si>
    <t>Dra. Graciela Icaza</t>
  </si>
  <si>
    <t>Ciencias Clínicas I</t>
  </si>
  <si>
    <t>DOCTOR JUAN MANUEL CHARCHALAC</t>
  </si>
  <si>
    <t>Dr. Juan Manuel Charchalac</t>
  </si>
  <si>
    <t>CIENCIAS CLÍNICAS I</t>
  </si>
  <si>
    <t>DOCTOR CRISTIAN MARÍN</t>
  </si>
  <si>
    <t>Dr. Cristian Marín</t>
  </si>
  <si>
    <t>López Pichiyá, Zara Yadira Susely</t>
  </si>
  <si>
    <t>Pouterin Barrientos, Vinicio Andree</t>
  </si>
  <si>
    <t>CONDUCTA COLECTIVA</t>
  </si>
  <si>
    <t>DOCTOR ARMANDO CALDERÓN</t>
  </si>
  <si>
    <t>Dr. Armando Calderón</t>
  </si>
  <si>
    <t>Conducta Colectiva</t>
  </si>
  <si>
    <t>DOCTOR LEONEL MONROY</t>
  </si>
  <si>
    <t>Dr. Leonel Monroy</t>
  </si>
  <si>
    <t>CONDUCTA INDIVIDUAL</t>
  </si>
  <si>
    <t>LICENCIADA PAOLA OLAVARRUETH</t>
  </si>
  <si>
    <t>Licda. Paola Olavarrueth</t>
  </si>
  <si>
    <t>Conducta Individual</t>
  </si>
  <si>
    <t>LICENCIADA BEATRIZ VILLELA</t>
  </si>
  <si>
    <t>Licda. Beatriz Villela</t>
  </si>
  <si>
    <t>Florian Marroquin, Marjory Solangel</t>
  </si>
  <si>
    <t>SDE</t>
  </si>
  <si>
    <t>NSP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</si>
</sst>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63"/>
      <name val="Arial Narrow"/>
      <family val="2"/>
    </font>
    <font>
      <sz val="12"/>
      <name val="Arial Narrow"/>
      <family val="2"/>
    </font>
    <font>
      <sz val="12"/>
      <color indexed="63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1" fillId="0" borderId="0" xfId="0" applyFont="1" applyBorder="1"/>
    <xf numFmtId="0" fontId="2" fillId="0" borderId="0" xfId="0" applyFont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1" fillId="0" borderId="0" xfId="0" applyFont="1" applyFill="1" applyBorder="1"/>
    <xf numFmtId="0" fontId="1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4" xfId="0" applyFont="1" applyBorder="1"/>
    <xf numFmtId="0" fontId="2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/>
    <xf numFmtId="0" fontId="2" fillId="0" borderId="16" xfId="0" applyFont="1" applyBorder="1"/>
    <xf numFmtId="0" fontId="2" fillId="0" borderId="12" xfId="0" applyFont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/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2" fontId="2" fillId="4" borderId="12" xfId="0" applyNumberFormat="1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/>
    <xf numFmtId="0" fontId="6" fillId="0" borderId="12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/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/>
    <xf numFmtId="2" fontId="4" fillId="4" borderId="12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18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020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2940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3048000" y="4638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87</xdr:row>
      <xdr:rowOff>142875</xdr:rowOff>
    </xdr:from>
    <xdr:to>
      <xdr:col>6</xdr:col>
      <xdr:colOff>209550</xdr:colOff>
      <xdr:row>90</xdr:row>
      <xdr:rowOff>66675</xdr:rowOff>
    </xdr:to>
    <xdr:pic>
      <xdr:nvPicPr>
        <xdr:cNvPr id="5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020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87</xdr:row>
      <xdr:rowOff>152400</xdr:rowOff>
    </xdr:from>
    <xdr:to>
      <xdr:col>7</xdr:col>
      <xdr:colOff>533400</xdr:colOff>
      <xdr:row>90</xdr:row>
      <xdr:rowOff>76200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2940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3048000" y="48482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173</xdr:row>
      <xdr:rowOff>142875</xdr:rowOff>
    </xdr:from>
    <xdr:to>
      <xdr:col>6</xdr:col>
      <xdr:colOff>209550</xdr:colOff>
      <xdr:row>176</xdr:row>
      <xdr:rowOff>66675</xdr:rowOff>
    </xdr:to>
    <xdr:pic>
      <xdr:nvPicPr>
        <xdr:cNvPr id="8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188404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173</xdr:row>
      <xdr:rowOff>152400</xdr:rowOff>
    </xdr:from>
    <xdr:to>
      <xdr:col>7</xdr:col>
      <xdr:colOff>533400</xdr:colOff>
      <xdr:row>176</xdr:row>
      <xdr:rowOff>76200</xdr:rowOff>
    </xdr:to>
    <xdr:pic>
      <xdr:nvPicPr>
        <xdr:cNvPr id="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553200" y="188499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195</xdr:row>
      <xdr:rowOff>0</xdr:rowOff>
    </xdr:from>
    <xdr:to>
      <xdr:col>3</xdr:col>
      <xdr:colOff>0</xdr:colOff>
      <xdr:row>195</xdr:row>
      <xdr:rowOff>0</xdr:rowOff>
    </xdr:to>
    <xdr:sp macro="" textlink="">
      <xdr:nvSpPr>
        <xdr:cNvPr id="10" name="Line 14"/>
        <xdr:cNvSpPr>
          <a:spLocks noChangeShapeType="1"/>
        </xdr:cNvSpPr>
      </xdr:nvSpPr>
      <xdr:spPr bwMode="auto">
        <a:xfrm>
          <a:off x="3048000" y="233267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259</xdr:row>
      <xdr:rowOff>142875</xdr:rowOff>
    </xdr:from>
    <xdr:to>
      <xdr:col>6</xdr:col>
      <xdr:colOff>209550</xdr:colOff>
      <xdr:row>262</xdr:row>
      <xdr:rowOff>66675</xdr:rowOff>
    </xdr:to>
    <xdr:pic>
      <xdr:nvPicPr>
        <xdr:cNvPr id="11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188404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259</xdr:row>
      <xdr:rowOff>152400</xdr:rowOff>
    </xdr:from>
    <xdr:to>
      <xdr:col>7</xdr:col>
      <xdr:colOff>533400</xdr:colOff>
      <xdr:row>262</xdr:row>
      <xdr:rowOff>76200</xdr:rowOff>
    </xdr:to>
    <xdr:pic>
      <xdr:nvPicPr>
        <xdr:cNvPr id="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553200" y="188499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281</xdr:row>
      <xdr:rowOff>0</xdr:rowOff>
    </xdr:from>
    <xdr:to>
      <xdr:col>3</xdr:col>
      <xdr:colOff>0</xdr:colOff>
      <xdr:row>281</xdr:row>
      <xdr:rowOff>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3048000" y="233267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272</xdr:row>
      <xdr:rowOff>0</xdr:rowOff>
    </xdr:from>
    <xdr:to>
      <xdr:col>3</xdr:col>
      <xdr:colOff>0</xdr:colOff>
      <xdr:row>272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171825" y="2362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272</xdr:row>
      <xdr:rowOff>0</xdr:rowOff>
    </xdr:from>
    <xdr:to>
      <xdr:col>3</xdr:col>
      <xdr:colOff>0</xdr:colOff>
      <xdr:row>272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171825" y="2362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272</xdr:row>
      <xdr:rowOff>0</xdr:rowOff>
    </xdr:from>
    <xdr:to>
      <xdr:col>3</xdr:col>
      <xdr:colOff>0</xdr:colOff>
      <xdr:row>272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171825" y="2362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272</xdr:row>
      <xdr:rowOff>0</xdr:rowOff>
    </xdr:from>
    <xdr:to>
      <xdr:col>3</xdr:col>
      <xdr:colOff>0</xdr:colOff>
      <xdr:row>272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3171825" y="2362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345</xdr:row>
      <xdr:rowOff>142875</xdr:rowOff>
    </xdr:from>
    <xdr:to>
      <xdr:col>6</xdr:col>
      <xdr:colOff>209550</xdr:colOff>
      <xdr:row>348</xdr:row>
      <xdr:rowOff>66675</xdr:rowOff>
    </xdr:to>
    <xdr:pic>
      <xdr:nvPicPr>
        <xdr:cNvPr id="34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549592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345</xdr:row>
      <xdr:rowOff>152400</xdr:rowOff>
    </xdr:from>
    <xdr:to>
      <xdr:col>7</xdr:col>
      <xdr:colOff>533400</xdr:colOff>
      <xdr:row>348</xdr:row>
      <xdr:rowOff>76200</xdr:rowOff>
    </xdr:to>
    <xdr:pic>
      <xdr:nvPicPr>
        <xdr:cNvPr id="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549687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367</xdr:row>
      <xdr:rowOff>0</xdr:rowOff>
    </xdr:from>
    <xdr:to>
      <xdr:col>3</xdr:col>
      <xdr:colOff>0</xdr:colOff>
      <xdr:row>367</xdr:row>
      <xdr:rowOff>0</xdr:rowOff>
    </xdr:to>
    <xdr:sp macro="" textlink="">
      <xdr:nvSpPr>
        <xdr:cNvPr id="36" name="Line 14"/>
        <xdr:cNvSpPr>
          <a:spLocks noChangeShapeType="1"/>
        </xdr:cNvSpPr>
      </xdr:nvSpPr>
      <xdr:spPr bwMode="auto">
        <a:xfrm>
          <a:off x="3048000" y="59445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358</xdr:row>
      <xdr:rowOff>0</xdr:rowOff>
    </xdr:from>
    <xdr:to>
      <xdr:col>3</xdr:col>
      <xdr:colOff>0</xdr:colOff>
      <xdr:row>358</xdr:row>
      <xdr:rowOff>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048000" y="575595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358</xdr:row>
      <xdr:rowOff>0</xdr:rowOff>
    </xdr:from>
    <xdr:to>
      <xdr:col>3</xdr:col>
      <xdr:colOff>0</xdr:colOff>
      <xdr:row>358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3048000" y="575595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358</xdr:row>
      <xdr:rowOff>0</xdr:rowOff>
    </xdr:from>
    <xdr:to>
      <xdr:col>3</xdr:col>
      <xdr:colOff>0</xdr:colOff>
      <xdr:row>358</xdr:row>
      <xdr:rowOff>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3048000" y="575595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358</xdr:row>
      <xdr:rowOff>0</xdr:rowOff>
    </xdr:from>
    <xdr:to>
      <xdr:col>3</xdr:col>
      <xdr:colOff>0</xdr:colOff>
      <xdr:row>358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048000" y="575595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431</xdr:row>
      <xdr:rowOff>142875</xdr:rowOff>
    </xdr:from>
    <xdr:to>
      <xdr:col>6</xdr:col>
      <xdr:colOff>209550</xdr:colOff>
      <xdr:row>434</xdr:row>
      <xdr:rowOff>66675</xdr:rowOff>
    </xdr:to>
    <xdr:pic>
      <xdr:nvPicPr>
        <xdr:cNvPr id="41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734377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431</xdr:row>
      <xdr:rowOff>152400</xdr:rowOff>
    </xdr:from>
    <xdr:to>
      <xdr:col>7</xdr:col>
      <xdr:colOff>533400</xdr:colOff>
      <xdr:row>434</xdr:row>
      <xdr:rowOff>76200</xdr:rowOff>
    </xdr:to>
    <xdr:pic>
      <xdr:nvPicPr>
        <xdr:cNvPr id="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10350" y="734472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453</xdr:row>
      <xdr:rowOff>0</xdr:rowOff>
    </xdr:from>
    <xdr:to>
      <xdr:col>3</xdr:col>
      <xdr:colOff>0</xdr:colOff>
      <xdr:row>453</xdr:row>
      <xdr:rowOff>0</xdr:rowOff>
    </xdr:to>
    <xdr:sp macro="" textlink="">
      <xdr:nvSpPr>
        <xdr:cNvPr id="43" name="Line 14"/>
        <xdr:cNvSpPr>
          <a:spLocks noChangeShapeType="1"/>
        </xdr:cNvSpPr>
      </xdr:nvSpPr>
      <xdr:spPr bwMode="auto">
        <a:xfrm>
          <a:off x="3048000" y="779240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444</xdr:row>
      <xdr:rowOff>0</xdr:rowOff>
    </xdr:from>
    <xdr:to>
      <xdr:col>3</xdr:col>
      <xdr:colOff>0</xdr:colOff>
      <xdr:row>444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048000" y="760380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444</xdr:row>
      <xdr:rowOff>0</xdr:rowOff>
    </xdr:from>
    <xdr:to>
      <xdr:col>3</xdr:col>
      <xdr:colOff>0</xdr:colOff>
      <xdr:row>444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048000" y="760380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444</xdr:row>
      <xdr:rowOff>0</xdr:rowOff>
    </xdr:from>
    <xdr:to>
      <xdr:col>3</xdr:col>
      <xdr:colOff>0</xdr:colOff>
      <xdr:row>444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3048000" y="760380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444</xdr:row>
      <xdr:rowOff>0</xdr:rowOff>
    </xdr:from>
    <xdr:to>
      <xdr:col>3</xdr:col>
      <xdr:colOff>0</xdr:colOff>
      <xdr:row>444</xdr:row>
      <xdr:rowOff>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3048000" y="760380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443</xdr:row>
      <xdr:rowOff>0</xdr:rowOff>
    </xdr:from>
    <xdr:to>
      <xdr:col>3</xdr:col>
      <xdr:colOff>0</xdr:colOff>
      <xdr:row>443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171825" y="18002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443</xdr:row>
      <xdr:rowOff>0</xdr:rowOff>
    </xdr:from>
    <xdr:to>
      <xdr:col>3</xdr:col>
      <xdr:colOff>0</xdr:colOff>
      <xdr:row>443</xdr:row>
      <xdr:rowOff>0</xdr:rowOff>
    </xdr:to>
    <xdr:sp macro="" textlink="">
      <xdr:nvSpPr>
        <xdr:cNvPr id="49" name="Line 1914"/>
        <xdr:cNvSpPr>
          <a:spLocks noChangeShapeType="1"/>
        </xdr:cNvSpPr>
      </xdr:nvSpPr>
      <xdr:spPr bwMode="auto">
        <a:xfrm>
          <a:off x="3171825" y="18002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3048000" y="4848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85</xdr:row>
      <xdr:rowOff>142875</xdr:rowOff>
    </xdr:from>
    <xdr:to>
      <xdr:col>6</xdr:col>
      <xdr:colOff>209550</xdr:colOff>
      <xdr:row>88</xdr:row>
      <xdr:rowOff>66675</xdr:rowOff>
    </xdr:to>
    <xdr:pic>
      <xdr:nvPicPr>
        <xdr:cNvPr id="34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85</xdr:row>
      <xdr:rowOff>152400</xdr:rowOff>
    </xdr:from>
    <xdr:to>
      <xdr:col>7</xdr:col>
      <xdr:colOff>533400</xdr:colOff>
      <xdr:row>88</xdr:row>
      <xdr:rowOff>76200</xdr:rowOff>
    </xdr:to>
    <xdr:pic>
      <xdr:nvPicPr>
        <xdr:cNvPr id="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107</xdr:row>
      <xdr:rowOff>0</xdr:rowOff>
    </xdr:from>
    <xdr:to>
      <xdr:col>3</xdr:col>
      <xdr:colOff>0</xdr:colOff>
      <xdr:row>107</xdr:row>
      <xdr:rowOff>0</xdr:rowOff>
    </xdr:to>
    <xdr:sp macro="" textlink="">
      <xdr:nvSpPr>
        <xdr:cNvPr id="36" name="Line 14"/>
        <xdr:cNvSpPr>
          <a:spLocks noChangeShapeType="1"/>
        </xdr:cNvSpPr>
      </xdr:nvSpPr>
      <xdr:spPr bwMode="auto">
        <a:xfrm>
          <a:off x="3048000" y="4848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169</xdr:row>
      <xdr:rowOff>142875</xdr:rowOff>
    </xdr:from>
    <xdr:to>
      <xdr:col>6</xdr:col>
      <xdr:colOff>209550</xdr:colOff>
      <xdr:row>172</xdr:row>
      <xdr:rowOff>66675</xdr:rowOff>
    </xdr:to>
    <xdr:pic>
      <xdr:nvPicPr>
        <xdr:cNvPr id="37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180022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169</xdr:row>
      <xdr:rowOff>152400</xdr:rowOff>
    </xdr:from>
    <xdr:to>
      <xdr:col>7</xdr:col>
      <xdr:colOff>533400</xdr:colOff>
      <xdr:row>172</xdr:row>
      <xdr:rowOff>76200</xdr:rowOff>
    </xdr:to>
    <xdr:pic>
      <xdr:nvPicPr>
        <xdr:cNvPr id="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180117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191</xdr:row>
      <xdr:rowOff>0</xdr:rowOff>
    </xdr:from>
    <xdr:to>
      <xdr:col>3</xdr:col>
      <xdr:colOff>0</xdr:colOff>
      <xdr:row>191</xdr:row>
      <xdr:rowOff>0</xdr:rowOff>
    </xdr:to>
    <xdr:sp macro="" textlink="">
      <xdr:nvSpPr>
        <xdr:cNvPr id="39" name="Line 14"/>
        <xdr:cNvSpPr>
          <a:spLocks noChangeShapeType="1"/>
        </xdr:cNvSpPr>
      </xdr:nvSpPr>
      <xdr:spPr bwMode="auto">
        <a:xfrm>
          <a:off x="3048000" y="22488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253</xdr:row>
      <xdr:rowOff>142875</xdr:rowOff>
    </xdr:from>
    <xdr:to>
      <xdr:col>6</xdr:col>
      <xdr:colOff>209550</xdr:colOff>
      <xdr:row>256</xdr:row>
      <xdr:rowOff>66675</xdr:rowOff>
    </xdr:to>
    <xdr:pic>
      <xdr:nvPicPr>
        <xdr:cNvPr id="40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56425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253</xdr:row>
      <xdr:rowOff>152400</xdr:rowOff>
    </xdr:from>
    <xdr:to>
      <xdr:col>7</xdr:col>
      <xdr:colOff>533400</xdr:colOff>
      <xdr:row>256</xdr:row>
      <xdr:rowOff>76200</xdr:rowOff>
    </xdr:to>
    <xdr:pic>
      <xdr:nvPicPr>
        <xdr:cNvPr id="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356520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275</xdr:row>
      <xdr:rowOff>0</xdr:rowOff>
    </xdr:from>
    <xdr:to>
      <xdr:col>3</xdr:col>
      <xdr:colOff>0</xdr:colOff>
      <xdr:row>275</xdr:row>
      <xdr:rowOff>0</xdr:rowOff>
    </xdr:to>
    <xdr:sp macro="" textlink="">
      <xdr:nvSpPr>
        <xdr:cNvPr id="42" name="Line 14"/>
        <xdr:cNvSpPr>
          <a:spLocks noChangeShapeType="1"/>
        </xdr:cNvSpPr>
      </xdr:nvSpPr>
      <xdr:spPr bwMode="auto">
        <a:xfrm>
          <a:off x="3048000" y="401288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337</xdr:row>
      <xdr:rowOff>142875</xdr:rowOff>
    </xdr:from>
    <xdr:to>
      <xdr:col>6</xdr:col>
      <xdr:colOff>209550</xdr:colOff>
      <xdr:row>340</xdr:row>
      <xdr:rowOff>66675</xdr:rowOff>
    </xdr:to>
    <xdr:pic>
      <xdr:nvPicPr>
        <xdr:cNvPr id="43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5425" y="532828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337</xdr:row>
      <xdr:rowOff>152400</xdr:rowOff>
    </xdr:from>
    <xdr:to>
      <xdr:col>7</xdr:col>
      <xdr:colOff>533400</xdr:colOff>
      <xdr:row>340</xdr:row>
      <xdr:rowOff>76200</xdr:rowOff>
    </xdr:to>
    <xdr:pic>
      <xdr:nvPicPr>
        <xdr:cNvPr id="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524625" y="532923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359</xdr:row>
      <xdr:rowOff>0</xdr:rowOff>
    </xdr:from>
    <xdr:to>
      <xdr:col>3</xdr:col>
      <xdr:colOff>0</xdr:colOff>
      <xdr:row>359</xdr:row>
      <xdr:rowOff>0</xdr:rowOff>
    </xdr:to>
    <xdr:sp macro="" textlink="">
      <xdr:nvSpPr>
        <xdr:cNvPr id="45" name="Line 14"/>
        <xdr:cNvSpPr>
          <a:spLocks noChangeShapeType="1"/>
        </xdr:cNvSpPr>
      </xdr:nvSpPr>
      <xdr:spPr bwMode="auto">
        <a:xfrm>
          <a:off x="3048000" y="577691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421</xdr:row>
      <xdr:rowOff>142875</xdr:rowOff>
    </xdr:from>
    <xdr:to>
      <xdr:col>6</xdr:col>
      <xdr:colOff>209550</xdr:colOff>
      <xdr:row>424</xdr:row>
      <xdr:rowOff>66675</xdr:rowOff>
    </xdr:to>
    <xdr:pic>
      <xdr:nvPicPr>
        <xdr:cNvPr id="17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709231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421</xdr:row>
      <xdr:rowOff>152400</xdr:rowOff>
    </xdr:from>
    <xdr:to>
      <xdr:col>7</xdr:col>
      <xdr:colOff>533400</xdr:colOff>
      <xdr:row>424</xdr:row>
      <xdr:rowOff>76200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10350" y="709326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445</xdr:row>
      <xdr:rowOff>0</xdr:rowOff>
    </xdr:from>
    <xdr:to>
      <xdr:col>3</xdr:col>
      <xdr:colOff>0</xdr:colOff>
      <xdr:row>445</xdr:row>
      <xdr:rowOff>0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>
          <a:off x="3048000" y="754094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3048000" y="4848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86</xdr:row>
      <xdr:rowOff>142875</xdr:rowOff>
    </xdr:from>
    <xdr:to>
      <xdr:col>6</xdr:col>
      <xdr:colOff>209550</xdr:colOff>
      <xdr:row>89</xdr:row>
      <xdr:rowOff>66675</xdr:rowOff>
    </xdr:to>
    <xdr:pic>
      <xdr:nvPicPr>
        <xdr:cNvPr id="34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86</xdr:row>
      <xdr:rowOff>152400</xdr:rowOff>
    </xdr:from>
    <xdr:to>
      <xdr:col>7</xdr:col>
      <xdr:colOff>533400</xdr:colOff>
      <xdr:row>89</xdr:row>
      <xdr:rowOff>76200</xdr:rowOff>
    </xdr:to>
    <xdr:pic>
      <xdr:nvPicPr>
        <xdr:cNvPr id="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108</xdr:row>
      <xdr:rowOff>0</xdr:rowOff>
    </xdr:from>
    <xdr:to>
      <xdr:col>3</xdr:col>
      <xdr:colOff>0</xdr:colOff>
      <xdr:row>108</xdr:row>
      <xdr:rowOff>0</xdr:rowOff>
    </xdr:to>
    <xdr:sp macro="" textlink="">
      <xdr:nvSpPr>
        <xdr:cNvPr id="36" name="Line 14"/>
        <xdr:cNvSpPr>
          <a:spLocks noChangeShapeType="1"/>
        </xdr:cNvSpPr>
      </xdr:nvSpPr>
      <xdr:spPr bwMode="auto">
        <a:xfrm>
          <a:off x="3048000" y="4848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171</xdr:row>
      <xdr:rowOff>142875</xdr:rowOff>
    </xdr:from>
    <xdr:to>
      <xdr:col>6</xdr:col>
      <xdr:colOff>209550</xdr:colOff>
      <xdr:row>174</xdr:row>
      <xdr:rowOff>66675</xdr:rowOff>
    </xdr:to>
    <xdr:pic>
      <xdr:nvPicPr>
        <xdr:cNvPr id="37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184213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171</xdr:row>
      <xdr:rowOff>152400</xdr:rowOff>
    </xdr:from>
    <xdr:to>
      <xdr:col>7</xdr:col>
      <xdr:colOff>533400</xdr:colOff>
      <xdr:row>174</xdr:row>
      <xdr:rowOff>76200</xdr:rowOff>
    </xdr:to>
    <xdr:pic>
      <xdr:nvPicPr>
        <xdr:cNvPr id="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184308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193</xdr:row>
      <xdr:rowOff>0</xdr:rowOff>
    </xdr:from>
    <xdr:to>
      <xdr:col>3</xdr:col>
      <xdr:colOff>0</xdr:colOff>
      <xdr:row>193</xdr:row>
      <xdr:rowOff>0</xdr:rowOff>
    </xdr:to>
    <xdr:sp macro="" textlink="">
      <xdr:nvSpPr>
        <xdr:cNvPr id="39" name="Line 14"/>
        <xdr:cNvSpPr>
          <a:spLocks noChangeShapeType="1"/>
        </xdr:cNvSpPr>
      </xdr:nvSpPr>
      <xdr:spPr bwMode="auto">
        <a:xfrm>
          <a:off x="3048000" y="22907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256</xdr:row>
      <xdr:rowOff>142875</xdr:rowOff>
    </xdr:from>
    <xdr:to>
      <xdr:col>6</xdr:col>
      <xdr:colOff>209550</xdr:colOff>
      <xdr:row>259</xdr:row>
      <xdr:rowOff>66675</xdr:rowOff>
    </xdr:to>
    <xdr:pic>
      <xdr:nvPicPr>
        <xdr:cNvPr id="40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64807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256</xdr:row>
      <xdr:rowOff>152400</xdr:rowOff>
    </xdr:from>
    <xdr:to>
      <xdr:col>7</xdr:col>
      <xdr:colOff>533400</xdr:colOff>
      <xdr:row>259</xdr:row>
      <xdr:rowOff>76200</xdr:rowOff>
    </xdr:to>
    <xdr:pic>
      <xdr:nvPicPr>
        <xdr:cNvPr id="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364902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278</xdr:row>
      <xdr:rowOff>0</xdr:rowOff>
    </xdr:from>
    <xdr:to>
      <xdr:col>3</xdr:col>
      <xdr:colOff>0</xdr:colOff>
      <xdr:row>278</xdr:row>
      <xdr:rowOff>0</xdr:rowOff>
    </xdr:to>
    <xdr:sp macro="" textlink="">
      <xdr:nvSpPr>
        <xdr:cNvPr id="42" name="Line 14"/>
        <xdr:cNvSpPr>
          <a:spLocks noChangeShapeType="1"/>
        </xdr:cNvSpPr>
      </xdr:nvSpPr>
      <xdr:spPr bwMode="auto">
        <a:xfrm>
          <a:off x="3048000" y="409670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268</xdr:row>
      <xdr:rowOff>0</xdr:rowOff>
    </xdr:from>
    <xdr:to>
      <xdr:col>3</xdr:col>
      <xdr:colOff>0</xdr:colOff>
      <xdr:row>268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3171825" y="1981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268</xdr:row>
      <xdr:rowOff>0</xdr:rowOff>
    </xdr:from>
    <xdr:to>
      <xdr:col>3</xdr:col>
      <xdr:colOff>0</xdr:colOff>
      <xdr:row>268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171825" y="1981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268</xdr:row>
      <xdr:rowOff>0</xdr:rowOff>
    </xdr:from>
    <xdr:to>
      <xdr:col>3</xdr:col>
      <xdr:colOff>0</xdr:colOff>
      <xdr:row>268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171825" y="1981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268</xdr:row>
      <xdr:rowOff>0</xdr:rowOff>
    </xdr:from>
    <xdr:to>
      <xdr:col>3</xdr:col>
      <xdr:colOff>0</xdr:colOff>
      <xdr:row>268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3171825" y="1981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341</xdr:row>
      <xdr:rowOff>142875</xdr:rowOff>
    </xdr:from>
    <xdr:to>
      <xdr:col>6</xdr:col>
      <xdr:colOff>209550</xdr:colOff>
      <xdr:row>344</xdr:row>
      <xdr:rowOff>66675</xdr:rowOff>
    </xdr:to>
    <xdr:pic>
      <xdr:nvPicPr>
        <xdr:cNvPr id="47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545401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341</xdr:row>
      <xdr:rowOff>152400</xdr:rowOff>
    </xdr:from>
    <xdr:to>
      <xdr:col>7</xdr:col>
      <xdr:colOff>533400</xdr:colOff>
      <xdr:row>344</xdr:row>
      <xdr:rowOff>76200</xdr:rowOff>
    </xdr:to>
    <xdr:pic>
      <xdr:nvPicPr>
        <xdr:cNvPr id="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545496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363</xdr:row>
      <xdr:rowOff>0</xdr:rowOff>
    </xdr:from>
    <xdr:to>
      <xdr:col>3</xdr:col>
      <xdr:colOff>0</xdr:colOff>
      <xdr:row>363</xdr:row>
      <xdr:rowOff>0</xdr:rowOff>
    </xdr:to>
    <xdr:sp macro="" textlink="">
      <xdr:nvSpPr>
        <xdr:cNvPr id="49" name="Line 14"/>
        <xdr:cNvSpPr>
          <a:spLocks noChangeShapeType="1"/>
        </xdr:cNvSpPr>
      </xdr:nvSpPr>
      <xdr:spPr bwMode="auto">
        <a:xfrm>
          <a:off x="3048000" y="590264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353</xdr:row>
      <xdr:rowOff>0</xdr:rowOff>
    </xdr:from>
    <xdr:to>
      <xdr:col>3</xdr:col>
      <xdr:colOff>0</xdr:colOff>
      <xdr:row>353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3048000" y="569309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353</xdr:row>
      <xdr:rowOff>0</xdr:rowOff>
    </xdr:from>
    <xdr:to>
      <xdr:col>3</xdr:col>
      <xdr:colOff>0</xdr:colOff>
      <xdr:row>353</xdr:row>
      <xdr:rowOff>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3048000" y="569309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353</xdr:row>
      <xdr:rowOff>0</xdr:rowOff>
    </xdr:from>
    <xdr:to>
      <xdr:col>3</xdr:col>
      <xdr:colOff>0</xdr:colOff>
      <xdr:row>353</xdr:row>
      <xdr:rowOff>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048000" y="569309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353</xdr:row>
      <xdr:rowOff>0</xdr:rowOff>
    </xdr:from>
    <xdr:to>
      <xdr:col>3</xdr:col>
      <xdr:colOff>0</xdr:colOff>
      <xdr:row>353</xdr:row>
      <xdr:rowOff>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3048000" y="569309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353</xdr:row>
      <xdr:rowOff>0</xdr:rowOff>
    </xdr:from>
    <xdr:to>
      <xdr:col>3</xdr:col>
      <xdr:colOff>0</xdr:colOff>
      <xdr:row>353</xdr:row>
      <xdr:rowOff>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3171825" y="19907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353</xdr:row>
      <xdr:rowOff>0</xdr:rowOff>
    </xdr:from>
    <xdr:to>
      <xdr:col>3</xdr:col>
      <xdr:colOff>0</xdr:colOff>
      <xdr:row>353</xdr:row>
      <xdr:rowOff>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3171825" y="19907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353</xdr:row>
      <xdr:rowOff>0</xdr:rowOff>
    </xdr:from>
    <xdr:to>
      <xdr:col>3</xdr:col>
      <xdr:colOff>0</xdr:colOff>
      <xdr:row>353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171825" y="19907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353</xdr:row>
      <xdr:rowOff>0</xdr:rowOff>
    </xdr:from>
    <xdr:to>
      <xdr:col>3</xdr:col>
      <xdr:colOff>0</xdr:colOff>
      <xdr:row>353</xdr:row>
      <xdr:rowOff>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3171825" y="19907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426</xdr:row>
      <xdr:rowOff>142875</xdr:rowOff>
    </xdr:from>
    <xdr:to>
      <xdr:col>6</xdr:col>
      <xdr:colOff>209550</xdr:colOff>
      <xdr:row>429</xdr:row>
      <xdr:rowOff>66675</xdr:rowOff>
    </xdr:to>
    <xdr:pic>
      <xdr:nvPicPr>
        <xdr:cNvPr id="58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725995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426</xdr:row>
      <xdr:rowOff>152400</xdr:rowOff>
    </xdr:from>
    <xdr:to>
      <xdr:col>7</xdr:col>
      <xdr:colOff>533400</xdr:colOff>
      <xdr:row>429</xdr:row>
      <xdr:rowOff>76200</xdr:rowOff>
    </xdr:to>
    <xdr:pic>
      <xdr:nvPicPr>
        <xdr:cNvPr id="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726090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449</xdr:row>
      <xdr:rowOff>0</xdr:rowOff>
    </xdr:from>
    <xdr:to>
      <xdr:col>3</xdr:col>
      <xdr:colOff>0</xdr:colOff>
      <xdr:row>449</xdr:row>
      <xdr:rowOff>0</xdr:rowOff>
    </xdr:to>
    <xdr:sp macro="" textlink="">
      <xdr:nvSpPr>
        <xdr:cNvPr id="60" name="Line 14"/>
        <xdr:cNvSpPr>
          <a:spLocks noChangeShapeType="1"/>
        </xdr:cNvSpPr>
      </xdr:nvSpPr>
      <xdr:spPr bwMode="auto">
        <a:xfrm>
          <a:off x="3048000" y="770858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438</xdr:row>
      <xdr:rowOff>0</xdr:rowOff>
    </xdr:from>
    <xdr:to>
      <xdr:col>3</xdr:col>
      <xdr:colOff>0</xdr:colOff>
      <xdr:row>438</xdr:row>
      <xdr:rowOff>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3048000" y="749903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438</xdr:row>
      <xdr:rowOff>0</xdr:rowOff>
    </xdr:from>
    <xdr:to>
      <xdr:col>3</xdr:col>
      <xdr:colOff>0</xdr:colOff>
      <xdr:row>438</xdr:row>
      <xdr:rowOff>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3048000" y="749903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438</xdr:row>
      <xdr:rowOff>0</xdr:rowOff>
    </xdr:from>
    <xdr:to>
      <xdr:col>3</xdr:col>
      <xdr:colOff>0</xdr:colOff>
      <xdr:row>438</xdr:row>
      <xdr:rowOff>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3048000" y="749903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438</xdr:row>
      <xdr:rowOff>0</xdr:rowOff>
    </xdr:from>
    <xdr:to>
      <xdr:col>3</xdr:col>
      <xdr:colOff>0</xdr:colOff>
      <xdr:row>438</xdr:row>
      <xdr:rowOff>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3048000" y="749903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438</xdr:row>
      <xdr:rowOff>0</xdr:rowOff>
    </xdr:from>
    <xdr:to>
      <xdr:col>3</xdr:col>
      <xdr:colOff>0</xdr:colOff>
      <xdr:row>438</xdr:row>
      <xdr:rowOff>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3048000" y="749903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438</xdr:row>
      <xdr:rowOff>0</xdr:rowOff>
    </xdr:from>
    <xdr:to>
      <xdr:col>3</xdr:col>
      <xdr:colOff>0</xdr:colOff>
      <xdr:row>438</xdr:row>
      <xdr:rowOff>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3048000" y="749903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438</xdr:row>
      <xdr:rowOff>0</xdr:rowOff>
    </xdr:from>
    <xdr:to>
      <xdr:col>3</xdr:col>
      <xdr:colOff>0</xdr:colOff>
      <xdr:row>438</xdr:row>
      <xdr:rowOff>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3048000" y="749903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438</xdr:row>
      <xdr:rowOff>0</xdr:rowOff>
    </xdr:from>
    <xdr:to>
      <xdr:col>3</xdr:col>
      <xdr:colOff>0</xdr:colOff>
      <xdr:row>438</xdr:row>
      <xdr:rowOff>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3048000" y="749903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3048000" y="4848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87</xdr:row>
      <xdr:rowOff>142875</xdr:rowOff>
    </xdr:from>
    <xdr:to>
      <xdr:col>6</xdr:col>
      <xdr:colOff>209550</xdr:colOff>
      <xdr:row>90</xdr:row>
      <xdr:rowOff>66675</xdr:rowOff>
    </xdr:to>
    <xdr:pic>
      <xdr:nvPicPr>
        <xdr:cNvPr id="34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87</xdr:row>
      <xdr:rowOff>152400</xdr:rowOff>
    </xdr:from>
    <xdr:to>
      <xdr:col>7</xdr:col>
      <xdr:colOff>533400</xdr:colOff>
      <xdr:row>90</xdr:row>
      <xdr:rowOff>76200</xdr:rowOff>
    </xdr:to>
    <xdr:pic>
      <xdr:nvPicPr>
        <xdr:cNvPr id="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1035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109</xdr:row>
      <xdr:rowOff>0</xdr:rowOff>
    </xdr:from>
    <xdr:to>
      <xdr:col>3</xdr:col>
      <xdr:colOff>0</xdr:colOff>
      <xdr:row>109</xdr:row>
      <xdr:rowOff>0</xdr:rowOff>
    </xdr:to>
    <xdr:sp macro="" textlink="">
      <xdr:nvSpPr>
        <xdr:cNvPr id="36" name="Line 14"/>
        <xdr:cNvSpPr>
          <a:spLocks noChangeShapeType="1"/>
        </xdr:cNvSpPr>
      </xdr:nvSpPr>
      <xdr:spPr bwMode="auto">
        <a:xfrm>
          <a:off x="3048000" y="48482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173</xdr:row>
      <xdr:rowOff>142875</xdr:rowOff>
    </xdr:from>
    <xdr:to>
      <xdr:col>6</xdr:col>
      <xdr:colOff>209550</xdr:colOff>
      <xdr:row>176</xdr:row>
      <xdr:rowOff>66675</xdr:rowOff>
    </xdr:to>
    <xdr:pic>
      <xdr:nvPicPr>
        <xdr:cNvPr id="37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184213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173</xdr:row>
      <xdr:rowOff>152400</xdr:rowOff>
    </xdr:from>
    <xdr:to>
      <xdr:col>7</xdr:col>
      <xdr:colOff>533400</xdr:colOff>
      <xdr:row>176</xdr:row>
      <xdr:rowOff>76200</xdr:rowOff>
    </xdr:to>
    <xdr:pic>
      <xdr:nvPicPr>
        <xdr:cNvPr id="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10350" y="184308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195</xdr:row>
      <xdr:rowOff>0</xdr:rowOff>
    </xdr:from>
    <xdr:to>
      <xdr:col>3</xdr:col>
      <xdr:colOff>0</xdr:colOff>
      <xdr:row>195</xdr:row>
      <xdr:rowOff>0</xdr:rowOff>
    </xdr:to>
    <xdr:sp macro="" textlink="">
      <xdr:nvSpPr>
        <xdr:cNvPr id="39" name="Line 14"/>
        <xdr:cNvSpPr>
          <a:spLocks noChangeShapeType="1"/>
        </xdr:cNvSpPr>
      </xdr:nvSpPr>
      <xdr:spPr bwMode="auto">
        <a:xfrm>
          <a:off x="3048000" y="22907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259</xdr:row>
      <xdr:rowOff>142875</xdr:rowOff>
    </xdr:from>
    <xdr:to>
      <xdr:col>6</xdr:col>
      <xdr:colOff>209550</xdr:colOff>
      <xdr:row>262</xdr:row>
      <xdr:rowOff>66675</xdr:rowOff>
    </xdr:to>
    <xdr:pic>
      <xdr:nvPicPr>
        <xdr:cNvPr id="40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364807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259</xdr:row>
      <xdr:rowOff>152400</xdr:rowOff>
    </xdr:from>
    <xdr:to>
      <xdr:col>7</xdr:col>
      <xdr:colOff>533400</xdr:colOff>
      <xdr:row>262</xdr:row>
      <xdr:rowOff>76200</xdr:rowOff>
    </xdr:to>
    <xdr:pic>
      <xdr:nvPicPr>
        <xdr:cNvPr id="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10350" y="364902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282</xdr:row>
      <xdr:rowOff>0</xdr:rowOff>
    </xdr:from>
    <xdr:to>
      <xdr:col>3</xdr:col>
      <xdr:colOff>0</xdr:colOff>
      <xdr:row>282</xdr:row>
      <xdr:rowOff>0</xdr:rowOff>
    </xdr:to>
    <xdr:sp macro="" textlink="">
      <xdr:nvSpPr>
        <xdr:cNvPr id="42" name="Line 14"/>
        <xdr:cNvSpPr>
          <a:spLocks noChangeShapeType="1"/>
        </xdr:cNvSpPr>
      </xdr:nvSpPr>
      <xdr:spPr bwMode="auto">
        <a:xfrm>
          <a:off x="3048000" y="409670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271</xdr:row>
      <xdr:rowOff>0</xdr:rowOff>
    </xdr:from>
    <xdr:to>
      <xdr:col>3</xdr:col>
      <xdr:colOff>0</xdr:colOff>
      <xdr:row>271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3171825" y="1981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271</xdr:row>
      <xdr:rowOff>0</xdr:rowOff>
    </xdr:from>
    <xdr:to>
      <xdr:col>3</xdr:col>
      <xdr:colOff>0</xdr:colOff>
      <xdr:row>271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171825" y="1981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271</xdr:row>
      <xdr:rowOff>0</xdr:rowOff>
    </xdr:from>
    <xdr:to>
      <xdr:col>3</xdr:col>
      <xdr:colOff>0</xdr:colOff>
      <xdr:row>271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171825" y="1981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271</xdr:row>
      <xdr:rowOff>0</xdr:rowOff>
    </xdr:from>
    <xdr:to>
      <xdr:col>3</xdr:col>
      <xdr:colOff>0</xdr:colOff>
      <xdr:row>271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3171825" y="1981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345</xdr:row>
      <xdr:rowOff>142875</xdr:rowOff>
    </xdr:from>
    <xdr:to>
      <xdr:col>6</xdr:col>
      <xdr:colOff>209550</xdr:colOff>
      <xdr:row>348</xdr:row>
      <xdr:rowOff>66675</xdr:rowOff>
    </xdr:to>
    <xdr:pic>
      <xdr:nvPicPr>
        <xdr:cNvPr id="47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545401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345</xdr:row>
      <xdr:rowOff>152400</xdr:rowOff>
    </xdr:from>
    <xdr:to>
      <xdr:col>7</xdr:col>
      <xdr:colOff>533400</xdr:colOff>
      <xdr:row>348</xdr:row>
      <xdr:rowOff>76200</xdr:rowOff>
    </xdr:to>
    <xdr:pic>
      <xdr:nvPicPr>
        <xdr:cNvPr id="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10350" y="545496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368</xdr:row>
      <xdr:rowOff>0</xdr:rowOff>
    </xdr:from>
    <xdr:to>
      <xdr:col>3</xdr:col>
      <xdr:colOff>0</xdr:colOff>
      <xdr:row>368</xdr:row>
      <xdr:rowOff>0</xdr:rowOff>
    </xdr:to>
    <xdr:sp macro="" textlink="">
      <xdr:nvSpPr>
        <xdr:cNvPr id="49" name="Line 14"/>
        <xdr:cNvSpPr>
          <a:spLocks noChangeShapeType="1"/>
        </xdr:cNvSpPr>
      </xdr:nvSpPr>
      <xdr:spPr bwMode="auto">
        <a:xfrm>
          <a:off x="3048000" y="592359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357</xdr:row>
      <xdr:rowOff>0</xdr:rowOff>
    </xdr:from>
    <xdr:to>
      <xdr:col>3</xdr:col>
      <xdr:colOff>0</xdr:colOff>
      <xdr:row>357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3048000" y="569309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357</xdr:row>
      <xdr:rowOff>0</xdr:rowOff>
    </xdr:from>
    <xdr:to>
      <xdr:col>3</xdr:col>
      <xdr:colOff>0</xdr:colOff>
      <xdr:row>357</xdr:row>
      <xdr:rowOff>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3048000" y="569309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357</xdr:row>
      <xdr:rowOff>0</xdr:rowOff>
    </xdr:from>
    <xdr:to>
      <xdr:col>3</xdr:col>
      <xdr:colOff>0</xdr:colOff>
      <xdr:row>357</xdr:row>
      <xdr:rowOff>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048000" y="569309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357</xdr:row>
      <xdr:rowOff>0</xdr:rowOff>
    </xdr:from>
    <xdr:to>
      <xdr:col>3</xdr:col>
      <xdr:colOff>0</xdr:colOff>
      <xdr:row>357</xdr:row>
      <xdr:rowOff>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3048000" y="569309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431</xdr:row>
      <xdr:rowOff>142875</xdr:rowOff>
    </xdr:from>
    <xdr:to>
      <xdr:col>6</xdr:col>
      <xdr:colOff>209550</xdr:colOff>
      <xdr:row>434</xdr:row>
      <xdr:rowOff>66675</xdr:rowOff>
    </xdr:to>
    <xdr:pic>
      <xdr:nvPicPr>
        <xdr:cNvPr id="54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725995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431</xdr:row>
      <xdr:rowOff>152400</xdr:rowOff>
    </xdr:from>
    <xdr:to>
      <xdr:col>7</xdr:col>
      <xdr:colOff>533400</xdr:colOff>
      <xdr:row>434</xdr:row>
      <xdr:rowOff>76200</xdr:rowOff>
    </xdr:to>
    <xdr:pic>
      <xdr:nvPicPr>
        <xdr:cNvPr id="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10350" y="726090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454</xdr:row>
      <xdr:rowOff>0</xdr:rowOff>
    </xdr:from>
    <xdr:to>
      <xdr:col>3</xdr:col>
      <xdr:colOff>0</xdr:colOff>
      <xdr:row>454</xdr:row>
      <xdr:rowOff>0</xdr:rowOff>
    </xdr:to>
    <xdr:sp macro="" textlink="">
      <xdr:nvSpPr>
        <xdr:cNvPr id="56" name="Line 14"/>
        <xdr:cNvSpPr>
          <a:spLocks noChangeShapeType="1"/>
        </xdr:cNvSpPr>
      </xdr:nvSpPr>
      <xdr:spPr bwMode="auto">
        <a:xfrm>
          <a:off x="3048000" y="77295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443</xdr:row>
      <xdr:rowOff>0</xdr:rowOff>
    </xdr:from>
    <xdr:to>
      <xdr:col>3</xdr:col>
      <xdr:colOff>0</xdr:colOff>
      <xdr:row>443</xdr:row>
      <xdr:rowOff>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3048000" y="749903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443</xdr:row>
      <xdr:rowOff>0</xdr:rowOff>
    </xdr:from>
    <xdr:to>
      <xdr:col>3</xdr:col>
      <xdr:colOff>0</xdr:colOff>
      <xdr:row>443</xdr:row>
      <xdr:rowOff>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3048000" y="749903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443</xdr:row>
      <xdr:rowOff>0</xdr:rowOff>
    </xdr:from>
    <xdr:to>
      <xdr:col>3</xdr:col>
      <xdr:colOff>0</xdr:colOff>
      <xdr:row>443</xdr:row>
      <xdr:rowOff>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3048000" y="749903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443</xdr:row>
      <xdr:rowOff>0</xdr:rowOff>
    </xdr:from>
    <xdr:to>
      <xdr:col>3</xdr:col>
      <xdr:colOff>0</xdr:colOff>
      <xdr:row>443</xdr:row>
      <xdr:rowOff>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048000" y="749903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3048000" y="4848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85</xdr:row>
      <xdr:rowOff>142875</xdr:rowOff>
    </xdr:from>
    <xdr:to>
      <xdr:col>6</xdr:col>
      <xdr:colOff>209550</xdr:colOff>
      <xdr:row>88</xdr:row>
      <xdr:rowOff>66675</xdr:rowOff>
    </xdr:to>
    <xdr:pic>
      <xdr:nvPicPr>
        <xdr:cNvPr id="34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85</xdr:row>
      <xdr:rowOff>152400</xdr:rowOff>
    </xdr:from>
    <xdr:to>
      <xdr:col>7</xdr:col>
      <xdr:colOff>533400</xdr:colOff>
      <xdr:row>88</xdr:row>
      <xdr:rowOff>76200</xdr:rowOff>
    </xdr:to>
    <xdr:pic>
      <xdr:nvPicPr>
        <xdr:cNvPr id="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105</xdr:row>
      <xdr:rowOff>0</xdr:rowOff>
    </xdr:from>
    <xdr:to>
      <xdr:col>3</xdr:col>
      <xdr:colOff>0</xdr:colOff>
      <xdr:row>105</xdr:row>
      <xdr:rowOff>0</xdr:rowOff>
    </xdr:to>
    <xdr:sp macro="" textlink="">
      <xdr:nvSpPr>
        <xdr:cNvPr id="36" name="Line 14"/>
        <xdr:cNvSpPr>
          <a:spLocks noChangeShapeType="1"/>
        </xdr:cNvSpPr>
      </xdr:nvSpPr>
      <xdr:spPr bwMode="auto">
        <a:xfrm>
          <a:off x="3048000" y="44291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169</xdr:row>
      <xdr:rowOff>142875</xdr:rowOff>
    </xdr:from>
    <xdr:to>
      <xdr:col>6</xdr:col>
      <xdr:colOff>209550</xdr:colOff>
      <xdr:row>172</xdr:row>
      <xdr:rowOff>66675</xdr:rowOff>
    </xdr:to>
    <xdr:pic>
      <xdr:nvPicPr>
        <xdr:cNvPr id="37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180022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169</xdr:row>
      <xdr:rowOff>152400</xdr:rowOff>
    </xdr:from>
    <xdr:to>
      <xdr:col>7</xdr:col>
      <xdr:colOff>533400</xdr:colOff>
      <xdr:row>172</xdr:row>
      <xdr:rowOff>76200</xdr:rowOff>
    </xdr:to>
    <xdr:pic>
      <xdr:nvPicPr>
        <xdr:cNvPr id="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180117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189</xdr:row>
      <xdr:rowOff>0</xdr:rowOff>
    </xdr:from>
    <xdr:to>
      <xdr:col>3</xdr:col>
      <xdr:colOff>0</xdr:colOff>
      <xdr:row>189</xdr:row>
      <xdr:rowOff>0</xdr:rowOff>
    </xdr:to>
    <xdr:sp macro="" textlink="">
      <xdr:nvSpPr>
        <xdr:cNvPr id="39" name="Line 14"/>
        <xdr:cNvSpPr>
          <a:spLocks noChangeShapeType="1"/>
        </xdr:cNvSpPr>
      </xdr:nvSpPr>
      <xdr:spPr bwMode="auto">
        <a:xfrm>
          <a:off x="3048000" y="220694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253</xdr:row>
      <xdr:rowOff>142875</xdr:rowOff>
    </xdr:from>
    <xdr:to>
      <xdr:col>6</xdr:col>
      <xdr:colOff>209550</xdr:colOff>
      <xdr:row>256</xdr:row>
      <xdr:rowOff>66675</xdr:rowOff>
    </xdr:to>
    <xdr:pic>
      <xdr:nvPicPr>
        <xdr:cNvPr id="11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56425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253</xdr:row>
      <xdr:rowOff>152400</xdr:rowOff>
    </xdr:from>
    <xdr:to>
      <xdr:col>7</xdr:col>
      <xdr:colOff>533400</xdr:colOff>
      <xdr:row>256</xdr:row>
      <xdr:rowOff>76200</xdr:rowOff>
    </xdr:to>
    <xdr:pic>
      <xdr:nvPicPr>
        <xdr:cNvPr id="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356520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273</xdr:row>
      <xdr:rowOff>0</xdr:rowOff>
    </xdr:from>
    <xdr:to>
      <xdr:col>3</xdr:col>
      <xdr:colOff>0</xdr:colOff>
      <xdr:row>273</xdr:row>
      <xdr:rowOff>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3048000" y="397097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265</xdr:row>
      <xdr:rowOff>0</xdr:rowOff>
    </xdr:from>
    <xdr:to>
      <xdr:col>3</xdr:col>
      <xdr:colOff>0</xdr:colOff>
      <xdr:row>265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171825" y="1981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265</xdr:row>
      <xdr:rowOff>0</xdr:rowOff>
    </xdr:from>
    <xdr:to>
      <xdr:col>3</xdr:col>
      <xdr:colOff>0</xdr:colOff>
      <xdr:row>265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171825" y="1981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265</xdr:row>
      <xdr:rowOff>0</xdr:rowOff>
    </xdr:from>
    <xdr:to>
      <xdr:col>3</xdr:col>
      <xdr:colOff>0</xdr:colOff>
      <xdr:row>265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171825" y="1981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265</xdr:row>
      <xdr:rowOff>0</xdr:rowOff>
    </xdr:from>
    <xdr:to>
      <xdr:col>3</xdr:col>
      <xdr:colOff>0</xdr:colOff>
      <xdr:row>265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3171825" y="1981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337</xdr:row>
      <xdr:rowOff>142875</xdr:rowOff>
    </xdr:from>
    <xdr:to>
      <xdr:col>6</xdr:col>
      <xdr:colOff>209550</xdr:colOff>
      <xdr:row>340</xdr:row>
      <xdr:rowOff>66675</xdr:rowOff>
    </xdr:to>
    <xdr:pic>
      <xdr:nvPicPr>
        <xdr:cNvPr id="18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532828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337</xdr:row>
      <xdr:rowOff>152400</xdr:rowOff>
    </xdr:from>
    <xdr:to>
      <xdr:col>7</xdr:col>
      <xdr:colOff>533400</xdr:colOff>
      <xdr:row>340</xdr:row>
      <xdr:rowOff>76200</xdr:rowOff>
    </xdr:to>
    <xdr:pic>
      <xdr:nvPicPr>
        <xdr:cNvPr id="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532923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360</xdr:row>
      <xdr:rowOff>0</xdr:rowOff>
    </xdr:from>
    <xdr:to>
      <xdr:col>3</xdr:col>
      <xdr:colOff>0</xdr:colOff>
      <xdr:row>360</xdr:row>
      <xdr:rowOff>0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>
          <a:off x="3048000" y="579786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402</xdr:row>
      <xdr:rowOff>0</xdr:rowOff>
    </xdr:from>
    <xdr:to>
      <xdr:col>3</xdr:col>
      <xdr:colOff>0</xdr:colOff>
      <xdr:row>402</xdr:row>
      <xdr:rowOff>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3048000" y="659415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402</xdr:row>
      <xdr:rowOff>0</xdr:rowOff>
    </xdr:from>
    <xdr:to>
      <xdr:col>3</xdr:col>
      <xdr:colOff>0</xdr:colOff>
      <xdr:row>402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048000" y="659415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402</xdr:row>
      <xdr:rowOff>0</xdr:rowOff>
    </xdr:from>
    <xdr:to>
      <xdr:col>3</xdr:col>
      <xdr:colOff>0</xdr:colOff>
      <xdr:row>402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3048000" y="659415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402</xdr:row>
      <xdr:rowOff>0</xdr:rowOff>
    </xdr:from>
    <xdr:to>
      <xdr:col>3</xdr:col>
      <xdr:colOff>0</xdr:colOff>
      <xdr:row>402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048000" y="659415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349</xdr:row>
      <xdr:rowOff>0</xdr:rowOff>
    </xdr:from>
    <xdr:to>
      <xdr:col>3</xdr:col>
      <xdr:colOff>0</xdr:colOff>
      <xdr:row>349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3171825" y="1981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349</xdr:row>
      <xdr:rowOff>0</xdr:rowOff>
    </xdr:from>
    <xdr:to>
      <xdr:col>3</xdr:col>
      <xdr:colOff>0</xdr:colOff>
      <xdr:row>349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3171825" y="1981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421</xdr:row>
      <xdr:rowOff>142875</xdr:rowOff>
    </xdr:from>
    <xdr:to>
      <xdr:col>6</xdr:col>
      <xdr:colOff>209550</xdr:colOff>
      <xdr:row>424</xdr:row>
      <xdr:rowOff>66675</xdr:rowOff>
    </xdr:to>
    <xdr:pic>
      <xdr:nvPicPr>
        <xdr:cNvPr id="27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709231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421</xdr:row>
      <xdr:rowOff>152400</xdr:rowOff>
    </xdr:from>
    <xdr:to>
      <xdr:col>7</xdr:col>
      <xdr:colOff>533400</xdr:colOff>
      <xdr:row>424</xdr:row>
      <xdr:rowOff>76200</xdr:rowOff>
    </xdr:to>
    <xdr:pic>
      <xdr:nvPicPr>
        <xdr:cNvPr id="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709326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448</xdr:row>
      <xdr:rowOff>0</xdr:rowOff>
    </xdr:from>
    <xdr:to>
      <xdr:col>3</xdr:col>
      <xdr:colOff>0</xdr:colOff>
      <xdr:row>448</xdr:row>
      <xdr:rowOff>0</xdr:rowOff>
    </xdr:to>
    <xdr:sp macro="" textlink="">
      <xdr:nvSpPr>
        <xdr:cNvPr id="29" name="Line 14"/>
        <xdr:cNvSpPr>
          <a:spLocks noChangeShapeType="1"/>
        </xdr:cNvSpPr>
      </xdr:nvSpPr>
      <xdr:spPr bwMode="auto">
        <a:xfrm>
          <a:off x="3048000" y="76457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435</xdr:row>
      <xdr:rowOff>0</xdr:rowOff>
    </xdr:from>
    <xdr:to>
      <xdr:col>3</xdr:col>
      <xdr:colOff>0</xdr:colOff>
      <xdr:row>435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3048000" y="737330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435</xdr:row>
      <xdr:rowOff>0</xdr:rowOff>
    </xdr:from>
    <xdr:to>
      <xdr:col>3</xdr:col>
      <xdr:colOff>0</xdr:colOff>
      <xdr:row>435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3048000" y="737330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435</xdr:row>
      <xdr:rowOff>0</xdr:rowOff>
    </xdr:from>
    <xdr:to>
      <xdr:col>3</xdr:col>
      <xdr:colOff>0</xdr:colOff>
      <xdr:row>435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048000" y="737330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435</xdr:row>
      <xdr:rowOff>0</xdr:rowOff>
    </xdr:from>
    <xdr:to>
      <xdr:col>3</xdr:col>
      <xdr:colOff>0</xdr:colOff>
      <xdr:row>435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048000" y="737330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474</xdr:row>
      <xdr:rowOff>0</xdr:rowOff>
    </xdr:from>
    <xdr:to>
      <xdr:col>3</xdr:col>
      <xdr:colOff>0</xdr:colOff>
      <xdr:row>474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048000" y="819054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2105025</xdr:colOff>
      <xdr:row>474</xdr:row>
      <xdr:rowOff>0</xdr:rowOff>
    </xdr:from>
    <xdr:to>
      <xdr:col>3</xdr:col>
      <xdr:colOff>0</xdr:colOff>
      <xdr:row>474</xdr:row>
      <xdr:rowOff>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048000" y="819054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3048000" y="4848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85</xdr:row>
      <xdr:rowOff>142875</xdr:rowOff>
    </xdr:from>
    <xdr:to>
      <xdr:col>6</xdr:col>
      <xdr:colOff>209550</xdr:colOff>
      <xdr:row>88</xdr:row>
      <xdr:rowOff>66675</xdr:rowOff>
    </xdr:to>
    <xdr:pic>
      <xdr:nvPicPr>
        <xdr:cNvPr id="5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85</xdr:row>
      <xdr:rowOff>152400</xdr:rowOff>
    </xdr:from>
    <xdr:to>
      <xdr:col>7</xdr:col>
      <xdr:colOff>533400</xdr:colOff>
      <xdr:row>88</xdr:row>
      <xdr:rowOff>76200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107</xdr:row>
      <xdr:rowOff>0</xdr:rowOff>
    </xdr:from>
    <xdr:to>
      <xdr:col>3</xdr:col>
      <xdr:colOff>0</xdr:colOff>
      <xdr:row>107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3048000" y="4848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169</xdr:row>
      <xdr:rowOff>142875</xdr:rowOff>
    </xdr:from>
    <xdr:to>
      <xdr:col>6</xdr:col>
      <xdr:colOff>209550</xdr:colOff>
      <xdr:row>172</xdr:row>
      <xdr:rowOff>66675</xdr:rowOff>
    </xdr:to>
    <xdr:pic>
      <xdr:nvPicPr>
        <xdr:cNvPr id="8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180022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169</xdr:row>
      <xdr:rowOff>152400</xdr:rowOff>
    </xdr:from>
    <xdr:to>
      <xdr:col>7</xdr:col>
      <xdr:colOff>533400</xdr:colOff>
      <xdr:row>172</xdr:row>
      <xdr:rowOff>76200</xdr:rowOff>
    </xdr:to>
    <xdr:pic>
      <xdr:nvPicPr>
        <xdr:cNvPr id="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180117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191</xdr:row>
      <xdr:rowOff>0</xdr:rowOff>
    </xdr:from>
    <xdr:to>
      <xdr:col>3</xdr:col>
      <xdr:colOff>0</xdr:colOff>
      <xdr:row>191</xdr:row>
      <xdr:rowOff>0</xdr:rowOff>
    </xdr:to>
    <xdr:sp macro="" textlink="">
      <xdr:nvSpPr>
        <xdr:cNvPr id="10" name="Line 14"/>
        <xdr:cNvSpPr>
          <a:spLocks noChangeShapeType="1"/>
        </xdr:cNvSpPr>
      </xdr:nvSpPr>
      <xdr:spPr bwMode="auto">
        <a:xfrm>
          <a:off x="3048000" y="22488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253</xdr:row>
      <xdr:rowOff>142875</xdr:rowOff>
    </xdr:from>
    <xdr:to>
      <xdr:col>6</xdr:col>
      <xdr:colOff>209550</xdr:colOff>
      <xdr:row>256</xdr:row>
      <xdr:rowOff>66675</xdr:rowOff>
    </xdr:to>
    <xdr:pic>
      <xdr:nvPicPr>
        <xdr:cNvPr id="11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56425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253</xdr:row>
      <xdr:rowOff>152400</xdr:rowOff>
    </xdr:from>
    <xdr:to>
      <xdr:col>7</xdr:col>
      <xdr:colOff>533400</xdr:colOff>
      <xdr:row>256</xdr:row>
      <xdr:rowOff>76200</xdr:rowOff>
    </xdr:to>
    <xdr:pic>
      <xdr:nvPicPr>
        <xdr:cNvPr id="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356520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275</xdr:row>
      <xdr:rowOff>0</xdr:rowOff>
    </xdr:from>
    <xdr:to>
      <xdr:col>3</xdr:col>
      <xdr:colOff>0</xdr:colOff>
      <xdr:row>275</xdr:row>
      <xdr:rowOff>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3048000" y="401288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338</xdr:row>
      <xdr:rowOff>142875</xdr:rowOff>
    </xdr:from>
    <xdr:to>
      <xdr:col>6</xdr:col>
      <xdr:colOff>209550</xdr:colOff>
      <xdr:row>341</xdr:row>
      <xdr:rowOff>66675</xdr:rowOff>
    </xdr:to>
    <xdr:pic>
      <xdr:nvPicPr>
        <xdr:cNvPr id="14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532828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338</xdr:row>
      <xdr:rowOff>152400</xdr:rowOff>
    </xdr:from>
    <xdr:to>
      <xdr:col>7</xdr:col>
      <xdr:colOff>533400</xdr:colOff>
      <xdr:row>341</xdr:row>
      <xdr:rowOff>76200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532923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360</xdr:row>
      <xdr:rowOff>0</xdr:rowOff>
    </xdr:from>
    <xdr:to>
      <xdr:col>3</xdr:col>
      <xdr:colOff>0</xdr:colOff>
      <xdr:row>360</xdr:row>
      <xdr:rowOff>0</xdr:rowOff>
    </xdr:to>
    <xdr:sp macro="" textlink="">
      <xdr:nvSpPr>
        <xdr:cNvPr id="16" name="Line 14"/>
        <xdr:cNvSpPr>
          <a:spLocks noChangeShapeType="1"/>
        </xdr:cNvSpPr>
      </xdr:nvSpPr>
      <xdr:spPr bwMode="auto">
        <a:xfrm>
          <a:off x="3048000" y="577691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422</xdr:row>
      <xdr:rowOff>142875</xdr:rowOff>
    </xdr:from>
    <xdr:to>
      <xdr:col>6</xdr:col>
      <xdr:colOff>209550</xdr:colOff>
      <xdr:row>425</xdr:row>
      <xdr:rowOff>66675</xdr:rowOff>
    </xdr:to>
    <xdr:pic>
      <xdr:nvPicPr>
        <xdr:cNvPr id="17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709231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422</xdr:row>
      <xdr:rowOff>152400</xdr:rowOff>
    </xdr:from>
    <xdr:to>
      <xdr:col>7</xdr:col>
      <xdr:colOff>533400</xdr:colOff>
      <xdr:row>425</xdr:row>
      <xdr:rowOff>76200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709326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444</xdr:row>
      <xdr:rowOff>0</xdr:rowOff>
    </xdr:from>
    <xdr:to>
      <xdr:col>3</xdr:col>
      <xdr:colOff>0</xdr:colOff>
      <xdr:row>444</xdr:row>
      <xdr:rowOff>0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>
          <a:off x="3048000" y="754094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3048000" y="4848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79</xdr:row>
      <xdr:rowOff>142875</xdr:rowOff>
    </xdr:from>
    <xdr:to>
      <xdr:col>6</xdr:col>
      <xdr:colOff>209550</xdr:colOff>
      <xdr:row>82</xdr:row>
      <xdr:rowOff>66675</xdr:rowOff>
    </xdr:to>
    <xdr:pic>
      <xdr:nvPicPr>
        <xdr:cNvPr id="34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79</xdr:row>
      <xdr:rowOff>152400</xdr:rowOff>
    </xdr:from>
    <xdr:to>
      <xdr:col>7</xdr:col>
      <xdr:colOff>533400</xdr:colOff>
      <xdr:row>82</xdr:row>
      <xdr:rowOff>76200</xdr:rowOff>
    </xdr:to>
    <xdr:pic>
      <xdr:nvPicPr>
        <xdr:cNvPr id="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36" name="Line 14"/>
        <xdr:cNvSpPr>
          <a:spLocks noChangeShapeType="1"/>
        </xdr:cNvSpPr>
      </xdr:nvSpPr>
      <xdr:spPr bwMode="auto">
        <a:xfrm>
          <a:off x="3048000" y="50577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157</xdr:row>
      <xdr:rowOff>142875</xdr:rowOff>
    </xdr:from>
    <xdr:to>
      <xdr:col>6</xdr:col>
      <xdr:colOff>209550</xdr:colOff>
      <xdr:row>160</xdr:row>
      <xdr:rowOff>66675</xdr:rowOff>
    </xdr:to>
    <xdr:pic>
      <xdr:nvPicPr>
        <xdr:cNvPr id="37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16744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157</xdr:row>
      <xdr:rowOff>152400</xdr:rowOff>
    </xdr:from>
    <xdr:to>
      <xdr:col>7</xdr:col>
      <xdr:colOff>533400</xdr:colOff>
      <xdr:row>160</xdr:row>
      <xdr:rowOff>76200</xdr:rowOff>
    </xdr:to>
    <xdr:pic>
      <xdr:nvPicPr>
        <xdr:cNvPr id="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16754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181</xdr:row>
      <xdr:rowOff>0</xdr:rowOff>
    </xdr:from>
    <xdr:to>
      <xdr:col>3</xdr:col>
      <xdr:colOff>0</xdr:colOff>
      <xdr:row>181</xdr:row>
      <xdr:rowOff>0</xdr:rowOff>
    </xdr:to>
    <xdr:sp macro="" textlink="">
      <xdr:nvSpPr>
        <xdr:cNvPr id="39" name="Line 14"/>
        <xdr:cNvSpPr>
          <a:spLocks noChangeShapeType="1"/>
        </xdr:cNvSpPr>
      </xdr:nvSpPr>
      <xdr:spPr bwMode="auto">
        <a:xfrm>
          <a:off x="3048000" y="216503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235</xdr:row>
      <xdr:rowOff>142875</xdr:rowOff>
    </xdr:from>
    <xdr:to>
      <xdr:col>6</xdr:col>
      <xdr:colOff>209550</xdr:colOff>
      <xdr:row>238</xdr:row>
      <xdr:rowOff>66675</xdr:rowOff>
    </xdr:to>
    <xdr:pic>
      <xdr:nvPicPr>
        <xdr:cNvPr id="40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3127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235</xdr:row>
      <xdr:rowOff>152400</xdr:rowOff>
    </xdr:from>
    <xdr:to>
      <xdr:col>7</xdr:col>
      <xdr:colOff>533400</xdr:colOff>
      <xdr:row>238</xdr:row>
      <xdr:rowOff>76200</xdr:rowOff>
    </xdr:to>
    <xdr:pic>
      <xdr:nvPicPr>
        <xdr:cNvPr id="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33137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262</xdr:row>
      <xdr:rowOff>0</xdr:rowOff>
    </xdr:from>
    <xdr:to>
      <xdr:col>3</xdr:col>
      <xdr:colOff>0</xdr:colOff>
      <xdr:row>262</xdr:row>
      <xdr:rowOff>0</xdr:rowOff>
    </xdr:to>
    <xdr:sp macro="" textlink="">
      <xdr:nvSpPr>
        <xdr:cNvPr id="42" name="Line 14"/>
        <xdr:cNvSpPr>
          <a:spLocks noChangeShapeType="1"/>
        </xdr:cNvSpPr>
      </xdr:nvSpPr>
      <xdr:spPr bwMode="auto">
        <a:xfrm>
          <a:off x="3048000" y="380333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313</xdr:row>
      <xdr:rowOff>142875</xdr:rowOff>
    </xdr:from>
    <xdr:to>
      <xdr:col>6</xdr:col>
      <xdr:colOff>209550</xdr:colOff>
      <xdr:row>316</xdr:row>
      <xdr:rowOff>66675</xdr:rowOff>
    </xdr:to>
    <xdr:pic>
      <xdr:nvPicPr>
        <xdr:cNvPr id="43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49510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313</xdr:row>
      <xdr:rowOff>152400</xdr:rowOff>
    </xdr:from>
    <xdr:to>
      <xdr:col>7</xdr:col>
      <xdr:colOff>533400</xdr:colOff>
      <xdr:row>316</xdr:row>
      <xdr:rowOff>76200</xdr:rowOff>
    </xdr:to>
    <xdr:pic>
      <xdr:nvPicPr>
        <xdr:cNvPr id="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49520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340</xdr:row>
      <xdr:rowOff>0</xdr:rowOff>
    </xdr:from>
    <xdr:to>
      <xdr:col>3</xdr:col>
      <xdr:colOff>0</xdr:colOff>
      <xdr:row>340</xdr:row>
      <xdr:rowOff>0</xdr:rowOff>
    </xdr:to>
    <xdr:sp macro="" textlink="">
      <xdr:nvSpPr>
        <xdr:cNvPr id="45" name="Line 14"/>
        <xdr:cNvSpPr>
          <a:spLocks noChangeShapeType="1"/>
        </xdr:cNvSpPr>
      </xdr:nvSpPr>
      <xdr:spPr bwMode="auto">
        <a:xfrm>
          <a:off x="3048000" y="55044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391</xdr:row>
      <xdr:rowOff>142875</xdr:rowOff>
    </xdr:from>
    <xdr:to>
      <xdr:col>6</xdr:col>
      <xdr:colOff>209550</xdr:colOff>
      <xdr:row>394</xdr:row>
      <xdr:rowOff>66675</xdr:rowOff>
    </xdr:to>
    <xdr:pic>
      <xdr:nvPicPr>
        <xdr:cNvPr id="46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65893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391</xdr:row>
      <xdr:rowOff>152400</xdr:rowOff>
    </xdr:from>
    <xdr:to>
      <xdr:col>7</xdr:col>
      <xdr:colOff>533400</xdr:colOff>
      <xdr:row>394</xdr:row>
      <xdr:rowOff>76200</xdr:rowOff>
    </xdr:to>
    <xdr:pic>
      <xdr:nvPicPr>
        <xdr:cNvPr id="4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48450" y="65903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419</xdr:row>
      <xdr:rowOff>0</xdr:rowOff>
    </xdr:from>
    <xdr:to>
      <xdr:col>3</xdr:col>
      <xdr:colOff>0</xdr:colOff>
      <xdr:row>419</xdr:row>
      <xdr:rowOff>0</xdr:rowOff>
    </xdr:to>
    <xdr:sp macro="" textlink="">
      <xdr:nvSpPr>
        <xdr:cNvPr id="48" name="Line 14"/>
        <xdr:cNvSpPr>
          <a:spLocks noChangeShapeType="1"/>
        </xdr:cNvSpPr>
      </xdr:nvSpPr>
      <xdr:spPr bwMode="auto">
        <a:xfrm>
          <a:off x="3048000" y="71427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gelical/Mis%20documentos/_NOTAS%20QUIM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A"/>
      <sheetName val="1 B"/>
      <sheetName val="1 E"/>
    </sheetNames>
    <sheetDataSet>
      <sheetData sheetId="0" refreshError="1"/>
      <sheetData sheetId="1" refreshError="1">
        <row r="9">
          <cell r="D9">
            <v>9.6</v>
          </cell>
        </row>
        <row r="38">
          <cell r="E38">
            <v>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511"/>
  <sheetViews>
    <sheetView topLeftCell="A481" workbookViewId="0">
      <selection activeCell="F510" sqref="F510"/>
    </sheetView>
  </sheetViews>
  <sheetFormatPr baseColWidth="10" defaultRowHeight="16.5"/>
  <cols>
    <col min="1" max="1" width="4.140625" style="2" customWidth="1"/>
    <col min="2" max="2" width="10" style="2" bestFit="1" customWidth="1"/>
    <col min="3" max="3" width="35.5703125" style="2" bestFit="1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13.42578125" style="2" customWidth="1"/>
    <col min="10" max="10" width="12.85546875" style="2" bestFit="1" customWidth="1"/>
    <col min="11" max="11" width="14.42578125" style="2" bestFit="1" customWidth="1"/>
    <col min="12" max="12" width="7.5703125" style="2" bestFit="1" customWidth="1"/>
    <col min="13" max="16384" width="11.42578125" style="2"/>
  </cols>
  <sheetData>
    <row r="1" spans="1:12" ht="17.25" thickBot="1">
      <c r="A1" s="1" t="s">
        <v>0</v>
      </c>
      <c r="I1" s="3"/>
    </row>
    <row r="2" spans="1:12">
      <c r="A2" s="1" t="s">
        <v>1</v>
      </c>
      <c r="F2" s="4"/>
      <c r="G2" s="5"/>
      <c r="H2" s="6"/>
      <c r="I2" s="7"/>
    </row>
    <row r="3" spans="1:12">
      <c r="A3" s="8" t="s">
        <v>2</v>
      </c>
      <c r="B3" s="9"/>
      <c r="E3" s="7"/>
      <c r="F3" s="10"/>
      <c r="G3" s="11"/>
      <c r="H3" s="12"/>
      <c r="I3" s="7"/>
    </row>
    <row r="4" spans="1:12" ht="17.25" thickBot="1">
      <c r="A4" s="13" t="s">
        <v>3</v>
      </c>
      <c r="B4" s="9"/>
      <c r="E4" s="7"/>
      <c r="F4" s="10"/>
      <c r="G4" s="11"/>
      <c r="H4" s="12"/>
      <c r="I4" s="7"/>
    </row>
    <row r="5" spans="1:12" ht="17.25" thickBot="1">
      <c r="A5" s="14" t="s">
        <v>22</v>
      </c>
      <c r="B5" s="15"/>
      <c r="C5" s="16"/>
      <c r="E5" s="7"/>
      <c r="F5" s="17"/>
      <c r="G5" s="18"/>
      <c r="H5" s="19"/>
      <c r="I5" s="7"/>
    </row>
    <row r="6" spans="1:12">
      <c r="A6" s="8"/>
      <c r="B6" s="9"/>
      <c r="E6" s="7"/>
      <c r="I6" s="3"/>
    </row>
    <row r="7" spans="1:12">
      <c r="A7" s="1" t="s">
        <v>91</v>
      </c>
      <c r="B7" s="9"/>
      <c r="C7" s="20" t="s">
        <v>92</v>
      </c>
      <c r="E7" s="7"/>
      <c r="I7" s="3"/>
    </row>
    <row r="8" spans="1:12">
      <c r="A8" s="1" t="s">
        <v>4</v>
      </c>
      <c r="C8" s="20" t="s">
        <v>98</v>
      </c>
      <c r="I8" s="3"/>
    </row>
    <row r="9" spans="1:12">
      <c r="A9" s="1" t="s">
        <v>5</v>
      </c>
      <c r="C9" s="20" t="s">
        <v>23</v>
      </c>
    </row>
    <row r="10" spans="1:12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2">
      <c r="A11" s="1"/>
      <c r="C11" s="22" t="s">
        <v>6</v>
      </c>
      <c r="D11" s="22" t="s">
        <v>93</v>
      </c>
      <c r="E11" s="22" t="s">
        <v>93</v>
      </c>
      <c r="F11" s="22" t="s">
        <v>93</v>
      </c>
      <c r="G11" s="22" t="s">
        <v>93</v>
      </c>
      <c r="H11" s="22" t="s">
        <v>93</v>
      </c>
      <c r="I11" s="22" t="s">
        <v>94</v>
      </c>
      <c r="J11" s="22" t="s">
        <v>8</v>
      </c>
      <c r="K11" s="22" t="s">
        <v>7</v>
      </c>
      <c r="L11" s="22" t="s">
        <v>9</v>
      </c>
    </row>
    <row r="12" spans="1:12">
      <c r="A12" s="22" t="s">
        <v>10</v>
      </c>
      <c r="B12" s="22" t="s">
        <v>11</v>
      </c>
      <c r="C12" s="22" t="s">
        <v>12</v>
      </c>
      <c r="D12" s="22" t="s">
        <v>13</v>
      </c>
      <c r="E12" s="22" t="s">
        <v>14</v>
      </c>
      <c r="F12" s="22" t="s">
        <v>15</v>
      </c>
      <c r="G12" s="22" t="s">
        <v>16</v>
      </c>
      <c r="H12" s="22" t="s">
        <v>17</v>
      </c>
      <c r="I12" s="22" t="s">
        <v>95</v>
      </c>
      <c r="J12" s="22" t="s">
        <v>18</v>
      </c>
      <c r="K12" s="22" t="s">
        <v>19</v>
      </c>
      <c r="L12" s="22" t="s">
        <v>20</v>
      </c>
    </row>
    <row r="13" spans="1:12">
      <c r="A13" s="23">
        <v>1</v>
      </c>
      <c r="B13" s="37">
        <v>200140217</v>
      </c>
      <c r="C13" s="38" t="s">
        <v>24</v>
      </c>
      <c r="D13" s="24">
        <v>4.87</v>
      </c>
      <c r="E13" s="24">
        <v>0</v>
      </c>
      <c r="F13" s="24">
        <v>0</v>
      </c>
      <c r="G13" s="24">
        <v>0</v>
      </c>
      <c r="H13" s="24">
        <v>0</v>
      </c>
      <c r="I13" s="24">
        <v>1.05</v>
      </c>
      <c r="J13" s="24">
        <f>+I13+H13+G13+F13+E13+D13</f>
        <v>5.92</v>
      </c>
      <c r="K13" s="24" t="s">
        <v>475</v>
      </c>
      <c r="L13" s="25">
        <f>+J13</f>
        <v>5.92</v>
      </c>
    </row>
    <row r="14" spans="1:12">
      <c r="A14" s="26">
        <v>2</v>
      </c>
      <c r="B14" s="37">
        <v>200710799</v>
      </c>
      <c r="C14" s="38" t="s">
        <v>25</v>
      </c>
      <c r="D14" s="24">
        <v>11.06</v>
      </c>
      <c r="E14" s="24">
        <v>7.25</v>
      </c>
      <c r="F14" s="24">
        <v>6.84</v>
      </c>
      <c r="G14" s="24">
        <v>10.42</v>
      </c>
      <c r="H14" s="24">
        <v>11.47</v>
      </c>
      <c r="I14" s="24">
        <v>4.75</v>
      </c>
      <c r="J14" s="24">
        <f t="shared" ref="J14:J74" si="0">+I14+H14+G14+F14+E14+D14</f>
        <v>51.790000000000006</v>
      </c>
      <c r="K14" s="24">
        <v>9.8000000000000007</v>
      </c>
      <c r="L14" s="25">
        <f t="shared" ref="L14:L71" si="1">+K14+J14</f>
        <v>61.59</v>
      </c>
    </row>
    <row r="15" spans="1:12">
      <c r="A15" s="27">
        <v>3</v>
      </c>
      <c r="B15" s="37">
        <v>200741736</v>
      </c>
      <c r="C15" s="39" t="s">
        <v>26</v>
      </c>
      <c r="D15" s="24">
        <v>9.41</v>
      </c>
      <c r="E15" s="24">
        <v>5.94</v>
      </c>
      <c r="F15" s="24">
        <v>7.42</v>
      </c>
      <c r="G15" s="24">
        <v>6.07</v>
      </c>
      <c r="H15" s="24">
        <v>8.7799999999999994</v>
      </c>
      <c r="I15" s="24">
        <v>4.75</v>
      </c>
      <c r="J15" s="24">
        <f t="shared" si="0"/>
        <v>42.370000000000005</v>
      </c>
      <c r="K15" s="24">
        <v>6</v>
      </c>
      <c r="L15" s="25">
        <f t="shared" si="1"/>
        <v>48.370000000000005</v>
      </c>
    </row>
    <row r="16" spans="1:12">
      <c r="A16" s="26">
        <v>4</v>
      </c>
      <c r="B16" s="37">
        <v>200741799</v>
      </c>
      <c r="C16" s="39" t="s">
        <v>27</v>
      </c>
      <c r="D16" s="24">
        <v>10.27</v>
      </c>
      <c r="E16" s="24">
        <v>10.24</v>
      </c>
      <c r="F16" s="24">
        <v>9.8800000000000008</v>
      </c>
      <c r="G16" s="24">
        <v>11.4</v>
      </c>
      <c r="H16" s="24">
        <v>10.95</v>
      </c>
      <c r="I16" s="24">
        <v>4.75</v>
      </c>
      <c r="J16" s="24">
        <f t="shared" si="0"/>
        <v>57.490000000000009</v>
      </c>
      <c r="K16" s="24">
        <v>11.6</v>
      </c>
      <c r="L16" s="25">
        <f t="shared" si="1"/>
        <v>69.09</v>
      </c>
    </row>
    <row r="17" spans="1:12">
      <c r="A17" s="26">
        <v>5</v>
      </c>
      <c r="B17" s="40">
        <v>200742316</v>
      </c>
      <c r="C17" s="38" t="s">
        <v>28</v>
      </c>
      <c r="D17" s="24">
        <v>3.37</v>
      </c>
      <c r="E17" s="24">
        <v>3.77</v>
      </c>
      <c r="F17" s="24">
        <v>6.49</v>
      </c>
      <c r="G17" s="24">
        <v>0.37</v>
      </c>
      <c r="H17" s="24">
        <v>0</v>
      </c>
      <c r="I17" s="24">
        <v>4.2</v>
      </c>
      <c r="J17" s="24">
        <f t="shared" si="0"/>
        <v>18.2</v>
      </c>
      <c r="K17" s="24" t="s">
        <v>475</v>
      </c>
      <c r="L17" s="25">
        <f>+J17</f>
        <v>18.2</v>
      </c>
    </row>
    <row r="18" spans="1:12">
      <c r="A18" s="26">
        <v>6</v>
      </c>
      <c r="B18" s="37">
        <v>200742534</v>
      </c>
      <c r="C18" s="38" t="s">
        <v>29</v>
      </c>
      <c r="D18" s="24">
        <v>9.75</v>
      </c>
      <c r="E18" s="24">
        <v>8.09</v>
      </c>
      <c r="F18" s="24">
        <v>8.85</v>
      </c>
      <c r="G18" s="24">
        <v>6.15</v>
      </c>
      <c r="H18" s="24">
        <v>10.050000000000001</v>
      </c>
      <c r="I18" s="24">
        <v>4.75</v>
      </c>
      <c r="J18" s="24">
        <f t="shared" si="0"/>
        <v>47.64</v>
      </c>
      <c r="K18" s="24">
        <v>8.1999999999999993</v>
      </c>
      <c r="L18" s="25">
        <f t="shared" si="1"/>
        <v>55.84</v>
      </c>
    </row>
    <row r="19" spans="1:12">
      <c r="A19" s="26">
        <v>7</v>
      </c>
      <c r="B19" s="37">
        <v>200742629</v>
      </c>
      <c r="C19" s="38" t="s">
        <v>30</v>
      </c>
      <c r="D19" s="24">
        <v>7.12</v>
      </c>
      <c r="E19" s="24">
        <v>8.0500000000000007</v>
      </c>
      <c r="F19" s="24">
        <v>6.4</v>
      </c>
      <c r="G19" s="24">
        <v>6.15</v>
      </c>
      <c r="H19" s="24">
        <v>10.050000000000001</v>
      </c>
      <c r="I19" s="24">
        <v>4.75</v>
      </c>
      <c r="J19" s="24">
        <f t="shared" si="0"/>
        <v>42.52</v>
      </c>
      <c r="K19" s="24">
        <v>4</v>
      </c>
      <c r="L19" s="25">
        <f t="shared" si="1"/>
        <v>46.52</v>
      </c>
    </row>
    <row r="20" spans="1:12">
      <c r="A20" s="26">
        <v>8</v>
      </c>
      <c r="B20" s="81">
        <v>200742767</v>
      </c>
      <c r="C20" s="82" t="s">
        <v>31</v>
      </c>
      <c r="D20" s="79">
        <v>9.52</v>
      </c>
      <c r="E20" s="79">
        <v>8.5500000000000007</v>
      </c>
      <c r="F20" s="79">
        <v>10.51</v>
      </c>
      <c r="G20" s="79">
        <v>8.5500000000000007</v>
      </c>
      <c r="H20" s="79">
        <v>11.4</v>
      </c>
      <c r="I20" s="79">
        <v>2.95</v>
      </c>
      <c r="J20" s="79">
        <f t="shared" si="0"/>
        <v>51.480000000000004</v>
      </c>
      <c r="K20" s="79">
        <v>10.8</v>
      </c>
      <c r="L20" s="80">
        <f t="shared" si="1"/>
        <v>62.28</v>
      </c>
    </row>
    <row r="21" spans="1:12">
      <c r="A21" s="26">
        <v>9</v>
      </c>
      <c r="B21" s="40">
        <v>200742782</v>
      </c>
      <c r="C21" s="38" t="s">
        <v>32</v>
      </c>
      <c r="D21" s="24">
        <v>11.32</v>
      </c>
      <c r="E21" s="24">
        <v>13.25</v>
      </c>
      <c r="F21" s="24">
        <v>9.15</v>
      </c>
      <c r="G21" s="24">
        <v>12.67</v>
      </c>
      <c r="H21" s="24">
        <v>11.4</v>
      </c>
      <c r="I21" s="24">
        <v>4.75</v>
      </c>
      <c r="J21" s="24">
        <f t="shared" si="0"/>
        <v>62.54</v>
      </c>
      <c r="K21" s="24">
        <v>10.4</v>
      </c>
      <c r="L21" s="25">
        <f t="shared" si="1"/>
        <v>72.94</v>
      </c>
    </row>
    <row r="22" spans="1:12">
      <c r="A22" s="26">
        <v>10</v>
      </c>
      <c r="B22" s="37">
        <v>200840055</v>
      </c>
      <c r="C22" s="39" t="s">
        <v>33</v>
      </c>
      <c r="D22" s="24">
        <v>13.2</v>
      </c>
      <c r="E22" s="24">
        <v>12.64</v>
      </c>
      <c r="F22" s="24">
        <v>11.44</v>
      </c>
      <c r="G22" s="24">
        <v>11.55</v>
      </c>
      <c r="H22" s="24">
        <v>11.02</v>
      </c>
      <c r="I22" s="24">
        <v>4.75</v>
      </c>
      <c r="J22" s="24">
        <f t="shared" si="0"/>
        <v>64.599999999999994</v>
      </c>
      <c r="K22" s="24">
        <v>11.4</v>
      </c>
      <c r="L22" s="25">
        <f t="shared" si="1"/>
        <v>76</v>
      </c>
    </row>
    <row r="23" spans="1:12">
      <c r="A23" s="26">
        <v>11</v>
      </c>
      <c r="B23" s="37">
        <v>200840120</v>
      </c>
      <c r="C23" s="38" t="s">
        <v>34</v>
      </c>
      <c r="D23" s="24">
        <v>7.5</v>
      </c>
      <c r="E23" s="24">
        <v>4.54</v>
      </c>
      <c r="F23" s="24">
        <v>4.99</v>
      </c>
      <c r="G23" s="24">
        <v>4.6500000000000004</v>
      </c>
      <c r="H23" s="28">
        <v>0</v>
      </c>
      <c r="I23" s="28">
        <v>4.5999999999999996</v>
      </c>
      <c r="J23" s="24">
        <f t="shared" si="0"/>
        <v>26.28</v>
      </c>
      <c r="K23" s="24" t="s">
        <v>475</v>
      </c>
      <c r="L23" s="25">
        <f>+J23</f>
        <v>26.28</v>
      </c>
    </row>
    <row r="24" spans="1:12">
      <c r="A24" s="26">
        <v>12</v>
      </c>
      <c r="B24" s="37">
        <v>200840126</v>
      </c>
      <c r="C24" s="38" t="s">
        <v>35</v>
      </c>
      <c r="D24" s="24">
        <v>6.33</v>
      </c>
      <c r="E24" s="24">
        <v>4.41</v>
      </c>
      <c r="F24" s="24">
        <v>5.81</v>
      </c>
      <c r="G24" s="24">
        <v>3.6</v>
      </c>
      <c r="H24" s="28">
        <v>2.93</v>
      </c>
      <c r="I24" s="28">
        <v>4.25</v>
      </c>
      <c r="J24" s="24">
        <f t="shared" si="0"/>
        <v>27.33</v>
      </c>
      <c r="K24" s="24" t="s">
        <v>475</v>
      </c>
      <c r="L24" s="25">
        <f>+J24</f>
        <v>27.33</v>
      </c>
    </row>
    <row r="25" spans="1:12">
      <c r="A25" s="26">
        <v>13</v>
      </c>
      <c r="B25" s="40">
        <v>200840140</v>
      </c>
      <c r="C25" s="38" t="s">
        <v>36</v>
      </c>
      <c r="D25" s="24">
        <v>9.93</v>
      </c>
      <c r="E25" s="24">
        <v>7.25</v>
      </c>
      <c r="F25" s="24">
        <v>6.73</v>
      </c>
      <c r="G25" s="24">
        <v>2.5499999999999998</v>
      </c>
      <c r="H25" s="28">
        <v>10.35</v>
      </c>
      <c r="I25" s="28">
        <v>4.8</v>
      </c>
      <c r="J25" s="24">
        <f t="shared" si="0"/>
        <v>41.61</v>
      </c>
      <c r="K25" s="24">
        <v>7.4</v>
      </c>
      <c r="L25" s="25">
        <f t="shared" si="1"/>
        <v>49.01</v>
      </c>
    </row>
    <row r="26" spans="1:12">
      <c r="A26" s="23">
        <v>14</v>
      </c>
      <c r="B26" s="37">
        <v>200840174</v>
      </c>
      <c r="C26" s="38" t="s">
        <v>37</v>
      </c>
      <c r="D26" s="24">
        <v>9.93</v>
      </c>
      <c r="E26" s="24">
        <v>7.79</v>
      </c>
      <c r="F26" s="24">
        <v>5.89</v>
      </c>
      <c r="G26" s="24">
        <v>6.3</v>
      </c>
      <c r="H26" s="28">
        <v>8.85</v>
      </c>
      <c r="I26" s="28">
        <v>4.8</v>
      </c>
      <c r="J26" s="24">
        <f t="shared" si="0"/>
        <v>43.56</v>
      </c>
      <c r="K26" s="24">
        <v>8</v>
      </c>
      <c r="L26" s="25">
        <f t="shared" si="1"/>
        <v>51.56</v>
      </c>
    </row>
    <row r="27" spans="1:12">
      <c r="A27" s="23">
        <v>15</v>
      </c>
      <c r="B27" s="37">
        <v>200840175</v>
      </c>
      <c r="C27" s="38" t="s">
        <v>38</v>
      </c>
      <c r="D27" s="24">
        <v>9.86</v>
      </c>
      <c r="E27" s="24">
        <v>9.33</v>
      </c>
      <c r="F27" s="24">
        <v>7.92</v>
      </c>
      <c r="G27" s="24">
        <v>9.9</v>
      </c>
      <c r="H27" s="24">
        <v>11.92</v>
      </c>
      <c r="I27" s="24">
        <v>4.8</v>
      </c>
      <c r="J27" s="24">
        <f t="shared" si="0"/>
        <v>53.73</v>
      </c>
      <c r="K27" s="24">
        <v>8.1999999999999993</v>
      </c>
      <c r="L27" s="25">
        <f t="shared" si="1"/>
        <v>61.929999999999993</v>
      </c>
    </row>
    <row r="28" spans="1:12">
      <c r="A28" s="23">
        <v>16</v>
      </c>
      <c r="B28" s="37">
        <v>200840186</v>
      </c>
      <c r="C28" s="38" t="s">
        <v>39</v>
      </c>
      <c r="D28" s="24">
        <v>9.6300000000000008</v>
      </c>
      <c r="E28" s="24">
        <v>5.73</v>
      </c>
      <c r="F28" s="24">
        <v>5.0199999999999996</v>
      </c>
      <c r="G28" s="24">
        <v>8.4</v>
      </c>
      <c r="H28" s="24">
        <v>13.8</v>
      </c>
      <c r="I28" s="24">
        <v>5</v>
      </c>
      <c r="J28" s="24">
        <f t="shared" si="0"/>
        <v>47.580000000000005</v>
      </c>
      <c r="K28" s="24">
        <v>13.2</v>
      </c>
      <c r="L28" s="25">
        <f t="shared" si="1"/>
        <v>60.78</v>
      </c>
    </row>
    <row r="29" spans="1:12">
      <c r="A29" s="23">
        <v>17</v>
      </c>
      <c r="B29" s="37">
        <v>200840188</v>
      </c>
      <c r="C29" s="38" t="s">
        <v>40</v>
      </c>
      <c r="D29" s="24">
        <v>4.2699999999999996</v>
      </c>
      <c r="E29" s="24">
        <v>4.09</v>
      </c>
      <c r="F29" s="24">
        <v>5.29</v>
      </c>
      <c r="G29" s="24">
        <v>1.43</v>
      </c>
      <c r="H29" s="24">
        <v>0</v>
      </c>
      <c r="I29" s="24">
        <v>3.9</v>
      </c>
      <c r="J29" s="24">
        <f t="shared" si="0"/>
        <v>18.98</v>
      </c>
      <c r="K29" s="24" t="s">
        <v>475</v>
      </c>
      <c r="L29" s="25">
        <f>+J29</f>
        <v>18.98</v>
      </c>
    </row>
    <row r="30" spans="1:12">
      <c r="A30" s="27">
        <v>18</v>
      </c>
      <c r="B30" s="37">
        <v>200840198</v>
      </c>
      <c r="C30" s="38" t="s">
        <v>41</v>
      </c>
      <c r="D30" s="79">
        <v>9.3000000000000007</v>
      </c>
      <c r="E30" s="79">
        <v>7.42</v>
      </c>
      <c r="F30" s="79">
        <v>9.15</v>
      </c>
      <c r="G30" s="79">
        <v>5.47</v>
      </c>
      <c r="H30" s="79">
        <v>9.3000000000000007</v>
      </c>
      <c r="I30" s="79">
        <v>5</v>
      </c>
      <c r="J30" s="79">
        <f t="shared" si="0"/>
        <v>45.64</v>
      </c>
      <c r="K30" s="79">
        <v>8.4</v>
      </c>
      <c r="L30" s="80">
        <f t="shared" si="1"/>
        <v>54.04</v>
      </c>
    </row>
    <row r="31" spans="1:12">
      <c r="A31" s="27">
        <v>19</v>
      </c>
      <c r="B31" s="40">
        <v>200840211</v>
      </c>
      <c r="C31" s="38" t="s">
        <v>42</v>
      </c>
      <c r="D31" s="24">
        <v>3.93</v>
      </c>
      <c r="E31" s="24">
        <v>3.17</v>
      </c>
      <c r="F31" s="24">
        <v>4.24</v>
      </c>
      <c r="G31" s="24">
        <v>1.5</v>
      </c>
      <c r="H31" s="24">
        <v>1.65</v>
      </c>
      <c r="I31" s="24">
        <v>4.5999999999999996</v>
      </c>
      <c r="J31" s="24">
        <f t="shared" si="0"/>
        <v>19.09</v>
      </c>
      <c r="K31" s="24" t="s">
        <v>475</v>
      </c>
      <c r="L31" s="25">
        <f>+J31</f>
        <v>19.09</v>
      </c>
    </row>
    <row r="32" spans="1:12">
      <c r="A32" s="27">
        <v>20</v>
      </c>
      <c r="B32" s="37">
        <v>200840714</v>
      </c>
      <c r="C32" s="38" t="s">
        <v>43</v>
      </c>
      <c r="D32" s="24">
        <v>10.65</v>
      </c>
      <c r="E32" s="24">
        <v>12.07</v>
      </c>
      <c r="F32" s="24">
        <v>9.15</v>
      </c>
      <c r="G32" s="24">
        <v>11.25</v>
      </c>
      <c r="H32" s="24">
        <v>13.2</v>
      </c>
      <c r="I32" s="24">
        <v>4.4000000000000004</v>
      </c>
      <c r="J32" s="24">
        <f t="shared" si="0"/>
        <v>60.72</v>
      </c>
      <c r="K32" s="24">
        <v>9.1999999999999993</v>
      </c>
      <c r="L32" s="25">
        <f t="shared" si="1"/>
        <v>69.92</v>
      </c>
    </row>
    <row r="33" spans="1:12">
      <c r="A33" s="27">
        <v>21</v>
      </c>
      <c r="B33" s="37">
        <v>200842032</v>
      </c>
      <c r="C33" s="39" t="s">
        <v>44</v>
      </c>
      <c r="D33" s="24">
        <v>8.77</v>
      </c>
      <c r="E33" s="24">
        <v>6.08</v>
      </c>
      <c r="F33" s="24">
        <v>4.74</v>
      </c>
      <c r="G33" s="24">
        <v>0.3</v>
      </c>
      <c r="H33" s="24">
        <v>0</v>
      </c>
      <c r="I33" s="24">
        <v>3.75</v>
      </c>
      <c r="J33" s="24">
        <f t="shared" si="0"/>
        <v>23.64</v>
      </c>
      <c r="K33" s="24" t="s">
        <v>475</v>
      </c>
      <c r="L33" s="25">
        <f>+J33</f>
        <v>23.64</v>
      </c>
    </row>
    <row r="34" spans="1:12">
      <c r="A34" s="27">
        <v>22</v>
      </c>
      <c r="B34" s="37">
        <v>200842044</v>
      </c>
      <c r="C34" s="39" t="s">
        <v>45</v>
      </c>
      <c r="D34" s="24">
        <v>11.1</v>
      </c>
      <c r="E34" s="24">
        <v>8.6300000000000008</v>
      </c>
      <c r="F34" s="24">
        <v>7.2</v>
      </c>
      <c r="G34" s="24">
        <v>9.6</v>
      </c>
      <c r="H34" s="24">
        <v>11.4</v>
      </c>
      <c r="I34" s="24">
        <v>5</v>
      </c>
      <c r="J34" s="24">
        <f t="shared" si="0"/>
        <v>52.930000000000007</v>
      </c>
      <c r="K34" s="24">
        <v>9</v>
      </c>
      <c r="L34" s="25">
        <f t="shared" si="1"/>
        <v>61.930000000000007</v>
      </c>
    </row>
    <row r="35" spans="1:12">
      <c r="A35" s="27">
        <v>23</v>
      </c>
      <c r="B35" s="37">
        <v>200842058</v>
      </c>
      <c r="C35" s="38" t="s">
        <v>46</v>
      </c>
      <c r="D35" s="24">
        <v>8.6199999999999992</v>
      </c>
      <c r="E35" s="24">
        <v>4.97</v>
      </c>
      <c r="F35" s="24">
        <v>5.49</v>
      </c>
      <c r="G35" s="24">
        <v>5.77</v>
      </c>
      <c r="H35" s="24">
        <v>8.5500000000000007</v>
      </c>
      <c r="I35" s="24">
        <v>5</v>
      </c>
      <c r="J35" s="24">
        <f t="shared" si="0"/>
        <v>38.4</v>
      </c>
      <c r="K35" s="24" t="s">
        <v>475</v>
      </c>
      <c r="L35" s="25">
        <f>+J35</f>
        <v>38.4</v>
      </c>
    </row>
    <row r="36" spans="1:12">
      <c r="A36" s="27">
        <v>24</v>
      </c>
      <c r="B36" s="37">
        <v>200842060</v>
      </c>
      <c r="C36" s="38" t="s">
        <v>47</v>
      </c>
      <c r="D36" s="24">
        <v>10.38</v>
      </c>
      <c r="E36" s="24">
        <v>11.82</v>
      </c>
      <c r="F36" s="24">
        <v>8.02</v>
      </c>
      <c r="G36" s="24">
        <v>11.77</v>
      </c>
      <c r="H36" s="24">
        <v>11.77</v>
      </c>
      <c r="I36" s="24">
        <v>5</v>
      </c>
      <c r="J36" s="24">
        <f t="shared" si="0"/>
        <v>58.760000000000005</v>
      </c>
      <c r="K36" s="24">
        <v>8.6</v>
      </c>
      <c r="L36" s="25">
        <f t="shared" si="1"/>
        <v>67.36</v>
      </c>
    </row>
    <row r="37" spans="1:12">
      <c r="A37" s="27">
        <v>25</v>
      </c>
      <c r="B37" s="40">
        <v>200842061</v>
      </c>
      <c r="C37" s="38" t="s">
        <v>48</v>
      </c>
      <c r="D37" s="24">
        <v>5.0999999999999996</v>
      </c>
      <c r="E37" s="24">
        <v>2.2000000000000002</v>
      </c>
      <c r="F37" s="24">
        <v>2.4700000000000002</v>
      </c>
      <c r="G37" s="24">
        <v>0</v>
      </c>
      <c r="H37" s="24">
        <v>0.15</v>
      </c>
      <c r="I37" s="24">
        <v>3.4</v>
      </c>
      <c r="J37" s="24">
        <f t="shared" si="0"/>
        <v>13.319999999999999</v>
      </c>
      <c r="K37" s="24" t="s">
        <v>475</v>
      </c>
      <c r="L37" s="25">
        <f>+J37</f>
        <v>13.319999999999999</v>
      </c>
    </row>
    <row r="38" spans="1:12">
      <c r="A38" s="27">
        <v>26</v>
      </c>
      <c r="B38" s="37">
        <v>200842077</v>
      </c>
      <c r="C38" s="38" t="s">
        <v>49</v>
      </c>
      <c r="D38" s="24">
        <v>8.32</v>
      </c>
      <c r="E38" s="24">
        <v>1.85</v>
      </c>
      <c r="F38" s="24">
        <v>2.46</v>
      </c>
      <c r="G38" s="24">
        <v>0.3</v>
      </c>
      <c r="H38" s="24">
        <v>0</v>
      </c>
      <c r="I38" s="24">
        <v>5</v>
      </c>
      <c r="J38" s="24">
        <f t="shared" si="0"/>
        <v>17.93</v>
      </c>
      <c r="K38" s="24" t="s">
        <v>475</v>
      </c>
      <c r="L38" s="25">
        <f t="shared" ref="L38:L39" si="2">+J38</f>
        <v>17.93</v>
      </c>
    </row>
    <row r="39" spans="1:12">
      <c r="A39" s="27">
        <v>27</v>
      </c>
      <c r="B39" s="37">
        <v>200842129</v>
      </c>
      <c r="C39" s="38" t="s">
        <v>50</v>
      </c>
      <c r="D39" s="24">
        <v>9.2200000000000006</v>
      </c>
      <c r="E39" s="24">
        <v>6.05</v>
      </c>
      <c r="F39" s="24">
        <v>6.02</v>
      </c>
      <c r="G39" s="24">
        <v>2.4700000000000002</v>
      </c>
      <c r="H39" s="24">
        <v>2.1</v>
      </c>
      <c r="I39" s="24">
        <v>4.8</v>
      </c>
      <c r="J39" s="24">
        <f t="shared" si="0"/>
        <v>30.660000000000004</v>
      </c>
      <c r="K39" s="24" t="s">
        <v>475</v>
      </c>
      <c r="L39" s="25">
        <f t="shared" si="2"/>
        <v>30.660000000000004</v>
      </c>
    </row>
    <row r="40" spans="1:12">
      <c r="A40" s="27">
        <v>28</v>
      </c>
      <c r="B40" s="37">
        <v>200842227</v>
      </c>
      <c r="C40" s="38" t="s">
        <v>51</v>
      </c>
      <c r="D40" s="24">
        <v>9.56</v>
      </c>
      <c r="E40" s="24">
        <v>6.23</v>
      </c>
      <c r="F40" s="24">
        <v>7.86</v>
      </c>
      <c r="G40" s="24">
        <v>5.85</v>
      </c>
      <c r="H40" s="24">
        <v>9.9</v>
      </c>
      <c r="I40" s="24">
        <v>5</v>
      </c>
      <c r="J40" s="24">
        <f t="shared" si="0"/>
        <v>44.400000000000006</v>
      </c>
      <c r="K40" s="24">
        <v>9.1999999999999993</v>
      </c>
      <c r="L40" s="25">
        <f t="shared" si="1"/>
        <v>53.600000000000009</v>
      </c>
    </row>
    <row r="41" spans="1:12">
      <c r="A41" s="27">
        <v>29</v>
      </c>
      <c r="B41" s="37">
        <v>200842253</v>
      </c>
      <c r="C41" s="38" t="s">
        <v>52</v>
      </c>
      <c r="D41" s="24">
        <v>3.93</v>
      </c>
      <c r="E41" s="24">
        <v>2.4</v>
      </c>
      <c r="F41" s="24">
        <f>G41</f>
        <v>0.75</v>
      </c>
      <c r="G41" s="24">
        <v>0.75</v>
      </c>
      <c r="H41" s="24">
        <v>0</v>
      </c>
      <c r="I41" s="24">
        <v>2.9</v>
      </c>
      <c r="J41" s="24">
        <f t="shared" si="0"/>
        <v>10.73</v>
      </c>
      <c r="K41" s="24" t="s">
        <v>475</v>
      </c>
      <c r="L41" s="25">
        <f>+J41</f>
        <v>10.73</v>
      </c>
    </row>
    <row r="42" spans="1:12">
      <c r="A42" s="27">
        <v>30</v>
      </c>
      <c r="B42" s="37">
        <v>200940284</v>
      </c>
      <c r="C42" s="39" t="s">
        <v>53</v>
      </c>
      <c r="D42" s="24">
        <v>5.47</v>
      </c>
      <c r="E42" s="24">
        <v>3.99</v>
      </c>
      <c r="F42" s="24">
        <v>3.91</v>
      </c>
      <c r="G42" s="24">
        <v>7.12</v>
      </c>
      <c r="H42" s="24">
        <v>0</v>
      </c>
      <c r="I42" s="24">
        <v>4.2</v>
      </c>
      <c r="J42" s="24">
        <f t="shared" si="0"/>
        <v>24.689999999999998</v>
      </c>
      <c r="K42" s="24" t="s">
        <v>475</v>
      </c>
      <c r="L42" s="25">
        <f t="shared" ref="L42:L47" si="3">+J42</f>
        <v>24.689999999999998</v>
      </c>
    </row>
    <row r="43" spans="1:12">
      <c r="A43" s="27">
        <v>31</v>
      </c>
      <c r="B43" s="37">
        <v>200940311</v>
      </c>
      <c r="C43" s="41" t="s">
        <v>54</v>
      </c>
      <c r="D43" s="24">
        <v>7.38</v>
      </c>
      <c r="E43" s="24">
        <v>6.99</v>
      </c>
      <c r="F43" s="24">
        <v>4.54</v>
      </c>
      <c r="G43" s="24">
        <v>1.87</v>
      </c>
      <c r="H43" s="24">
        <v>0</v>
      </c>
      <c r="I43" s="24">
        <v>3.05</v>
      </c>
      <c r="J43" s="24">
        <f t="shared" si="0"/>
        <v>23.830000000000002</v>
      </c>
      <c r="K43" s="24" t="s">
        <v>475</v>
      </c>
      <c r="L43" s="25">
        <f t="shared" si="3"/>
        <v>23.830000000000002</v>
      </c>
    </row>
    <row r="44" spans="1:12">
      <c r="A44" s="27">
        <v>32</v>
      </c>
      <c r="B44" s="37">
        <v>200940313</v>
      </c>
      <c r="C44" s="38" t="s">
        <v>55</v>
      </c>
      <c r="D44" s="24">
        <v>4.3499999999999996</v>
      </c>
      <c r="E44" s="24">
        <v>3.21</v>
      </c>
      <c r="F44" s="24">
        <v>4.32</v>
      </c>
      <c r="G44" s="24">
        <f>+H44</f>
        <v>2.02</v>
      </c>
      <c r="H44" s="24">
        <v>2.02</v>
      </c>
      <c r="I44" s="24">
        <v>3.7</v>
      </c>
      <c r="J44" s="24">
        <f t="shared" si="0"/>
        <v>19.619999999999997</v>
      </c>
      <c r="K44" s="24" t="s">
        <v>475</v>
      </c>
      <c r="L44" s="25">
        <f t="shared" si="3"/>
        <v>19.619999999999997</v>
      </c>
    </row>
    <row r="45" spans="1:12">
      <c r="A45" s="27">
        <v>33</v>
      </c>
      <c r="B45" s="37">
        <v>200940323</v>
      </c>
      <c r="C45" s="38" t="s">
        <v>56</v>
      </c>
      <c r="D45" s="24">
        <v>5.13</v>
      </c>
      <c r="E45" s="24">
        <v>0</v>
      </c>
      <c r="F45" s="24">
        <v>0</v>
      </c>
      <c r="G45" s="24">
        <v>0</v>
      </c>
      <c r="H45" s="24">
        <v>0</v>
      </c>
      <c r="I45" s="24">
        <v>3.05</v>
      </c>
      <c r="J45" s="24">
        <f t="shared" si="0"/>
        <v>8.18</v>
      </c>
      <c r="K45" s="24" t="s">
        <v>475</v>
      </c>
      <c r="L45" s="25">
        <f t="shared" si="3"/>
        <v>8.18</v>
      </c>
    </row>
    <row r="46" spans="1:12">
      <c r="A46" s="27">
        <v>34</v>
      </c>
      <c r="B46" s="37">
        <v>200940326</v>
      </c>
      <c r="C46" s="38" t="s">
        <v>57</v>
      </c>
      <c r="D46" s="24">
        <v>5.77</v>
      </c>
      <c r="E46" s="24">
        <v>7.23</v>
      </c>
      <c r="F46" s="24">
        <v>0</v>
      </c>
      <c r="G46" s="24">
        <v>0</v>
      </c>
      <c r="H46" s="24">
        <v>0</v>
      </c>
      <c r="I46" s="24">
        <v>3.1</v>
      </c>
      <c r="J46" s="24">
        <f t="shared" si="0"/>
        <v>16.100000000000001</v>
      </c>
      <c r="K46" s="24" t="s">
        <v>475</v>
      </c>
      <c r="L46" s="25">
        <f t="shared" si="3"/>
        <v>16.100000000000001</v>
      </c>
    </row>
    <row r="47" spans="1:12">
      <c r="A47" s="27">
        <v>35</v>
      </c>
      <c r="B47" s="37">
        <v>200940327</v>
      </c>
      <c r="C47" s="38" t="s">
        <v>58</v>
      </c>
      <c r="D47" s="24">
        <v>6.15</v>
      </c>
      <c r="E47" s="24">
        <v>3.4</v>
      </c>
      <c r="F47" s="24">
        <v>4.24</v>
      </c>
      <c r="G47" s="24">
        <v>1.57</v>
      </c>
      <c r="H47" s="24">
        <v>0</v>
      </c>
      <c r="I47" s="24">
        <v>3.4</v>
      </c>
      <c r="J47" s="24">
        <f t="shared" si="0"/>
        <v>18.760000000000002</v>
      </c>
      <c r="K47" s="24" t="s">
        <v>475</v>
      </c>
      <c r="L47" s="25">
        <f t="shared" si="3"/>
        <v>18.760000000000002</v>
      </c>
    </row>
    <row r="48" spans="1:12">
      <c r="A48" s="27">
        <v>36</v>
      </c>
      <c r="B48" s="37">
        <v>200940328</v>
      </c>
      <c r="C48" s="41" t="s">
        <v>59</v>
      </c>
      <c r="D48" s="24">
        <v>9.3699999999999992</v>
      </c>
      <c r="E48" s="24">
        <v>7.18</v>
      </c>
      <c r="F48" s="24">
        <v>4.8</v>
      </c>
      <c r="G48" s="24">
        <v>6.3</v>
      </c>
      <c r="H48" s="24">
        <v>12.22</v>
      </c>
      <c r="I48" s="24">
        <v>4.5</v>
      </c>
      <c r="J48" s="24">
        <f t="shared" si="0"/>
        <v>44.37</v>
      </c>
      <c r="K48" s="24">
        <v>10</v>
      </c>
      <c r="L48" s="25">
        <f t="shared" si="1"/>
        <v>54.37</v>
      </c>
    </row>
    <row r="49" spans="1:12">
      <c r="A49" s="27">
        <v>37</v>
      </c>
      <c r="B49" s="37">
        <v>200940340</v>
      </c>
      <c r="C49" s="41" t="s">
        <v>60</v>
      </c>
      <c r="D49" s="24">
        <v>5.85</v>
      </c>
      <c r="E49" s="24">
        <v>6.81</v>
      </c>
      <c r="F49" s="24">
        <v>9.25</v>
      </c>
      <c r="G49" s="24">
        <v>8.77</v>
      </c>
      <c r="H49" s="24">
        <v>11.77</v>
      </c>
      <c r="I49" s="24">
        <v>5</v>
      </c>
      <c r="J49" s="24">
        <f t="shared" si="0"/>
        <v>47.45</v>
      </c>
      <c r="K49" s="24">
        <v>7.8</v>
      </c>
      <c r="L49" s="25">
        <f t="shared" si="1"/>
        <v>55.25</v>
      </c>
    </row>
    <row r="50" spans="1:12">
      <c r="A50" s="27">
        <v>38</v>
      </c>
      <c r="B50" s="37">
        <v>200940355</v>
      </c>
      <c r="C50" s="41" t="s">
        <v>61</v>
      </c>
      <c r="D50" s="79">
        <v>6.33</v>
      </c>
      <c r="E50" s="79">
        <v>2.84</v>
      </c>
      <c r="F50" s="79">
        <v>5.44</v>
      </c>
      <c r="G50" s="79">
        <f>+H50</f>
        <v>8.85</v>
      </c>
      <c r="H50" s="79">
        <v>8.85</v>
      </c>
      <c r="I50" s="79">
        <v>3.9</v>
      </c>
      <c r="J50" s="79">
        <f t="shared" si="0"/>
        <v>36.21</v>
      </c>
      <c r="K50" s="79" t="s">
        <v>475</v>
      </c>
      <c r="L50" s="80">
        <f>+J50</f>
        <v>36.21</v>
      </c>
    </row>
    <row r="51" spans="1:12">
      <c r="A51" s="27">
        <v>39</v>
      </c>
      <c r="B51" s="37">
        <v>200940359</v>
      </c>
      <c r="C51" s="38" t="s">
        <v>62</v>
      </c>
      <c r="D51" s="24">
        <v>7.05</v>
      </c>
      <c r="E51" s="24">
        <v>5.26</v>
      </c>
      <c r="F51" s="24">
        <v>6.78</v>
      </c>
      <c r="G51" s="24">
        <v>5.0199999999999996</v>
      </c>
      <c r="H51" s="24">
        <v>9.52</v>
      </c>
      <c r="I51" s="24">
        <v>4.0999999999999996</v>
      </c>
      <c r="J51" s="24">
        <f t="shared" si="0"/>
        <v>37.729999999999997</v>
      </c>
      <c r="K51" s="24" t="s">
        <v>475</v>
      </c>
      <c r="L51" s="25">
        <f t="shared" ref="L51:L57" si="4">+J51</f>
        <v>37.729999999999997</v>
      </c>
    </row>
    <row r="52" spans="1:12">
      <c r="A52" s="27">
        <v>40</v>
      </c>
      <c r="B52" s="37">
        <v>200940361</v>
      </c>
      <c r="C52" s="41" t="s">
        <v>63</v>
      </c>
      <c r="D52" s="24">
        <v>5.43</v>
      </c>
      <c r="E52" s="24">
        <v>3.24</v>
      </c>
      <c r="F52" s="24">
        <v>3.48</v>
      </c>
      <c r="G52" s="24">
        <v>4.3499999999999996</v>
      </c>
      <c r="H52" s="24">
        <v>0</v>
      </c>
      <c r="I52" s="24">
        <v>3.8</v>
      </c>
      <c r="J52" s="24">
        <f t="shared" si="0"/>
        <v>20.299999999999997</v>
      </c>
      <c r="K52" s="24" t="s">
        <v>475</v>
      </c>
      <c r="L52" s="25">
        <f t="shared" si="4"/>
        <v>20.299999999999997</v>
      </c>
    </row>
    <row r="53" spans="1:12">
      <c r="A53" s="27">
        <v>41</v>
      </c>
      <c r="B53" s="37">
        <v>200940365</v>
      </c>
      <c r="C53" s="38" t="s">
        <v>64</v>
      </c>
      <c r="D53" s="24">
        <v>7.08</v>
      </c>
      <c r="E53" s="24">
        <v>4.26</v>
      </c>
      <c r="F53" s="24">
        <v>7.77</v>
      </c>
      <c r="G53" s="24">
        <v>2.77</v>
      </c>
      <c r="H53" s="24">
        <v>4.42</v>
      </c>
      <c r="I53" s="24">
        <v>4.5</v>
      </c>
      <c r="J53" s="24">
        <f t="shared" si="0"/>
        <v>30.799999999999997</v>
      </c>
      <c r="K53" s="24" t="s">
        <v>475</v>
      </c>
      <c r="L53" s="25">
        <f t="shared" si="4"/>
        <v>30.799999999999997</v>
      </c>
    </row>
    <row r="54" spans="1:12">
      <c r="A54" s="27">
        <v>42</v>
      </c>
      <c r="B54" s="40">
        <v>200940438</v>
      </c>
      <c r="C54" s="42" t="s">
        <v>65</v>
      </c>
      <c r="D54" s="24">
        <v>5.81</v>
      </c>
      <c r="E54" s="24">
        <v>5.2</v>
      </c>
      <c r="F54" s="24">
        <v>3.75</v>
      </c>
      <c r="G54" s="24">
        <v>0.43</v>
      </c>
      <c r="H54" s="24">
        <v>1.42</v>
      </c>
      <c r="I54" s="24">
        <v>4.5</v>
      </c>
      <c r="J54" s="24">
        <f t="shared" si="0"/>
        <v>21.11</v>
      </c>
      <c r="K54" s="24" t="s">
        <v>475</v>
      </c>
      <c r="L54" s="25">
        <f t="shared" si="4"/>
        <v>21.11</v>
      </c>
    </row>
    <row r="55" spans="1:12">
      <c r="A55" s="27">
        <v>43</v>
      </c>
      <c r="B55" s="37">
        <v>200940473</v>
      </c>
      <c r="C55" s="38" t="s">
        <v>66</v>
      </c>
      <c r="D55" s="24">
        <v>3</v>
      </c>
      <c r="E55" s="24">
        <v>2.81</v>
      </c>
      <c r="F55" s="24">
        <v>2.7</v>
      </c>
      <c r="G55" s="24">
        <v>0.22</v>
      </c>
      <c r="H55" s="24">
        <v>0</v>
      </c>
      <c r="I55" s="24">
        <v>2.85</v>
      </c>
      <c r="J55" s="24">
        <f t="shared" si="0"/>
        <v>11.58</v>
      </c>
      <c r="K55" s="24" t="s">
        <v>475</v>
      </c>
      <c r="L55" s="25">
        <f t="shared" si="4"/>
        <v>11.58</v>
      </c>
    </row>
    <row r="56" spans="1:12">
      <c r="A56" s="27">
        <v>44</v>
      </c>
      <c r="B56" s="37">
        <v>200940475</v>
      </c>
      <c r="C56" s="38" t="s">
        <v>67</v>
      </c>
      <c r="D56" s="24">
        <v>6.86</v>
      </c>
      <c r="E56" s="24">
        <v>2.84</v>
      </c>
      <c r="F56" s="24">
        <v>6.88</v>
      </c>
      <c r="G56" s="24">
        <v>4.12</v>
      </c>
      <c r="H56" s="24">
        <v>5.92</v>
      </c>
      <c r="I56" s="24">
        <v>4.4000000000000004</v>
      </c>
      <c r="J56" s="24">
        <f t="shared" si="0"/>
        <v>31.02</v>
      </c>
      <c r="K56" s="24" t="s">
        <v>475</v>
      </c>
      <c r="L56" s="25">
        <f t="shared" si="4"/>
        <v>31.02</v>
      </c>
    </row>
    <row r="57" spans="1:12">
      <c r="A57" s="27">
        <v>45</v>
      </c>
      <c r="B57" s="37">
        <v>200940477</v>
      </c>
      <c r="C57" s="38" t="s">
        <v>68</v>
      </c>
      <c r="D57" s="24">
        <v>5.25</v>
      </c>
      <c r="E57" s="24">
        <v>5.59</v>
      </c>
      <c r="F57" s="24">
        <v>4.68</v>
      </c>
      <c r="G57" s="24">
        <v>2.4700000000000002</v>
      </c>
      <c r="H57" s="24">
        <v>0</v>
      </c>
      <c r="I57" s="24">
        <v>3.5</v>
      </c>
      <c r="J57" s="24">
        <f t="shared" si="0"/>
        <v>21.490000000000002</v>
      </c>
      <c r="K57" s="24" t="s">
        <v>475</v>
      </c>
      <c r="L57" s="25">
        <f t="shared" si="4"/>
        <v>21.490000000000002</v>
      </c>
    </row>
    <row r="58" spans="1:12">
      <c r="A58" s="27">
        <v>46</v>
      </c>
      <c r="B58" s="37">
        <v>200940482</v>
      </c>
      <c r="C58" s="38" t="s">
        <v>69</v>
      </c>
      <c r="D58" s="79">
        <v>8.92</v>
      </c>
      <c r="E58" s="79">
        <v>8.25</v>
      </c>
      <c r="F58" s="79">
        <v>7.49</v>
      </c>
      <c r="G58" s="79">
        <v>7.5</v>
      </c>
      <c r="H58" s="79">
        <v>12.15</v>
      </c>
      <c r="I58" s="79">
        <v>4.8</v>
      </c>
      <c r="J58" s="79">
        <f t="shared" si="0"/>
        <v>49.11</v>
      </c>
      <c r="K58" s="79">
        <v>11.6</v>
      </c>
      <c r="L58" s="80">
        <f t="shared" si="1"/>
        <v>60.71</v>
      </c>
    </row>
    <row r="59" spans="1:12">
      <c r="A59" s="27">
        <v>47</v>
      </c>
      <c r="B59" s="40">
        <v>200940485</v>
      </c>
      <c r="C59" s="42" t="s">
        <v>70</v>
      </c>
      <c r="D59" s="24">
        <v>7.87</v>
      </c>
      <c r="E59" s="24">
        <v>1.95</v>
      </c>
      <c r="F59" s="24">
        <v>1.78</v>
      </c>
      <c r="G59" s="24">
        <v>0</v>
      </c>
      <c r="H59" s="24">
        <v>0</v>
      </c>
      <c r="I59" s="24">
        <v>3.05</v>
      </c>
      <c r="J59" s="24">
        <f t="shared" si="0"/>
        <v>14.65</v>
      </c>
      <c r="K59" s="24" t="s">
        <v>475</v>
      </c>
      <c r="L59" s="25">
        <f>+J59</f>
        <v>14.65</v>
      </c>
    </row>
    <row r="60" spans="1:12">
      <c r="A60" s="27">
        <v>48</v>
      </c>
      <c r="B60" s="37">
        <v>200940487</v>
      </c>
      <c r="C60" s="38" t="s">
        <v>71</v>
      </c>
      <c r="D60" s="24">
        <v>4.05</v>
      </c>
      <c r="E60" s="24">
        <v>2.5299999999999998</v>
      </c>
      <c r="F60" s="24">
        <v>3.0219999999999998</v>
      </c>
      <c r="G60" s="24">
        <v>0.6</v>
      </c>
      <c r="H60" s="24">
        <v>0</v>
      </c>
      <c r="I60" s="24">
        <v>4.1500000000000004</v>
      </c>
      <c r="J60" s="24">
        <f t="shared" si="0"/>
        <v>14.352</v>
      </c>
      <c r="K60" s="24" t="s">
        <v>475</v>
      </c>
      <c r="L60" s="25">
        <f t="shared" ref="L60:L61" si="5">+J60</f>
        <v>14.352</v>
      </c>
    </row>
    <row r="61" spans="1:12">
      <c r="A61" s="27">
        <v>49</v>
      </c>
      <c r="B61" s="37">
        <v>200940501</v>
      </c>
      <c r="C61" s="41" t="s">
        <v>72</v>
      </c>
      <c r="D61" s="24">
        <v>3.9</v>
      </c>
      <c r="E61" s="24">
        <v>2.77</v>
      </c>
      <c r="F61" s="24">
        <v>1.57</v>
      </c>
      <c r="G61" s="24">
        <v>1.2</v>
      </c>
      <c r="H61" s="24">
        <v>0</v>
      </c>
      <c r="I61" s="24">
        <v>3</v>
      </c>
      <c r="J61" s="24">
        <f t="shared" si="0"/>
        <v>12.440000000000001</v>
      </c>
      <c r="K61" s="24" t="s">
        <v>475</v>
      </c>
      <c r="L61" s="25">
        <f t="shared" si="5"/>
        <v>12.440000000000001</v>
      </c>
    </row>
    <row r="62" spans="1:12">
      <c r="A62" s="27">
        <v>50</v>
      </c>
      <c r="B62" s="37">
        <v>200940509</v>
      </c>
      <c r="C62" s="38" t="s">
        <v>73</v>
      </c>
      <c r="D62" s="24">
        <v>10.68</v>
      </c>
      <c r="E62" s="24">
        <v>11.72</v>
      </c>
      <c r="F62" s="24">
        <f>G62</f>
        <v>13.35</v>
      </c>
      <c r="G62" s="24">
        <v>13.35</v>
      </c>
      <c r="H62" s="24">
        <v>13.05</v>
      </c>
      <c r="I62" s="24">
        <v>4.8</v>
      </c>
      <c r="J62" s="24">
        <f t="shared" si="0"/>
        <v>66.95</v>
      </c>
      <c r="K62" s="24">
        <v>13.6</v>
      </c>
      <c r="L62" s="25">
        <f t="shared" si="1"/>
        <v>80.55</v>
      </c>
    </row>
    <row r="63" spans="1:12">
      <c r="A63" s="27">
        <v>51</v>
      </c>
      <c r="B63" s="37">
        <v>200940510</v>
      </c>
      <c r="C63" s="38" t="s">
        <v>74</v>
      </c>
      <c r="D63" s="24">
        <v>3.97</v>
      </c>
      <c r="E63" s="24">
        <v>3.14</v>
      </c>
      <c r="F63" s="24">
        <v>3.93</v>
      </c>
      <c r="G63" s="24">
        <v>0.37</v>
      </c>
      <c r="H63" s="24">
        <v>0</v>
      </c>
      <c r="I63" s="24">
        <v>2.75</v>
      </c>
      <c r="J63" s="24">
        <f t="shared" si="0"/>
        <v>14.160000000000002</v>
      </c>
      <c r="K63" s="24" t="s">
        <v>475</v>
      </c>
      <c r="L63" s="25">
        <f>+J63</f>
        <v>14.160000000000002</v>
      </c>
    </row>
    <row r="64" spans="1:12">
      <c r="A64" s="27">
        <v>52</v>
      </c>
      <c r="B64" s="37">
        <v>200940515</v>
      </c>
      <c r="C64" s="42" t="s">
        <v>75</v>
      </c>
      <c r="D64" s="24">
        <v>5.43</v>
      </c>
      <c r="E64" s="24">
        <v>2.96</v>
      </c>
      <c r="F64" s="24">
        <v>2.91</v>
      </c>
      <c r="G64" s="24">
        <v>0.37</v>
      </c>
      <c r="H64" s="24">
        <v>0</v>
      </c>
      <c r="I64" s="24">
        <v>3.05</v>
      </c>
      <c r="J64" s="24">
        <f t="shared" si="0"/>
        <v>14.719999999999999</v>
      </c>
      <c r="K64" s="24" t="s">
        <v>475</v>
      </c>
      <c r="L64" s="25">
        <f t="shared" ref="L64:L65" si="6">+J64</f>
        <v>14.719999999999999</v>
      </c>
    </row>
    <row r="65" spans="1:12">
      <c r="A65" s="27">
        <v>53</v>
      </c>
      <c r="B65" s="37">
        <v>200940517</v>
      </c>
      <c r="C65" s="38" t="s">
        <v>76</v>
      </c>
      <c r="D65" s="24">
        <v>6.97</v>
      </c>
      <c r="E65" s="24">
        <v>0</v>
      </c>
      <c r="F65" s="24">
        <v>6.46</v>
      </c>
      <c r="G65" s="24">
        <v>1.95</v>
      </c>
      <c r="H65" s="24">
        <v>4.2699999999999996</v>
      </c>
      <c r="I65" s="24">
        <v>4.5</v>
      </c>
      <c r="J65" s="24">
        <f t="shared" si="0"/>
        <v>24.15</v>
      </c>
      <c r="K65" s="24" t="s">
        <v>475</v>
      </c>
      <c r="L65" s="25">
        <f t="shared" si="6"/>
        <v>24.15</v>
      </c>
    </row>
    <row r="66" spans="1:12">
      <c r="A66" s="27">
        <v>54</v>
      </c>
      <c r="B66" s="43">
        <v>200940518</v>
      </c>
      <c r="C66" s="44" t="s">
        <v>77</v>
      </c>
      <c r="D66" s="24">
        <v>7.95</v>
      </c>
      <c r="E66" s="24">
        <v>6.15</v>
      </c>
      <c r="F66" s="24">
        <v>8.4700000000000006</v>
      </c>
      <c r="G66" s="24">
        <v>6.15</v>
      </c>
      <c r="H66" s="24">
        <v>8.85</v>
      </c>
      <c r="I66" s="24">
        <v>3.8</v>
      </c>
      <c r="J66" s="24">
        <f t="shared" si="0"/>
        <v>41.37</v>
      </c>
      <c r="K66" s="24">
        <v>7</v>
      </c>
      <c r="L66" s="25">
        <f t="shared" si="1"/>
        <v>48.37</v>
      </c>
    </row>
    <row r="67" spans="1:12">
      <c r="A67" s="27">
        <v>55</v>
      </c>
      <c r="B67" s="45">
        <v>200940525</v>
      </c>
      <c r="C67" s="46" t="s">
        <v>78</v>
      </c>
      <c r="D67" s="24">
        <v>5.36</v>
      </c>
      <c r="E67" s="24">
        <v>5.8</v>
      </c>
      <c r="F67" s="24">
        <v>7.63</v>
      </c>
      <c r="G67" s="24">
        <v>3.07</v>
      </c>
      <c r="H67" s="24">
        <v>0</v>
      </c>
      <c r="I67" s="24">
        <v>4</v>
      </c>
      <c r="J67" s="24">
        <f t="shared" si="0"/>
        <v>25.86</v>
      </c>
      <c r="K67" s="24" t="s">
        <v>475</v>
      </c>
      <c r="L67" s="25">
        <f>+J67</f>
        <v>25.86</v>
      </c>
    </row>
    <row r="68" spans="1:12">
      <c r="A68" s="27">
        <v>56</v>
      </c>
      <c r="B68" s="47">
        <v>200940530</v>
      </c>
      <c r="C68" s="48" t="s">
        <v>79</v>
      </c>
      <c r="D68" s="24">
        <v>4.01</v>
      </c>
      <c r="E68" s="24">
        <v>5.29</v>
      </c>
      <c r="F68" s="24">
        <v>3.72</v>
      </c>
      <c r="G68" s="24">
        <v>1.2</v>
      </c>
      <c r="H68" s="24">
        <v>0</v>
      </c>
      <c r="I68" s="24">
        <v>4</v>
      </c>
      <c r="J68" s="24">
        <f t="shared" si="0"/>
        <v>18.22</v>
      </c>
      <c r="K68" s="24" t="s">
        <v>475</v>
      </c>
      <c r="L68" s="25">
        <f t="shared" ref="L68:L70" si="7">+J68</f>
        <v>18.22</v>
      </c>
    </row>
    <row r="69" spans="1:12">
      <c r="A69" s="27">
        <v>57</v>
      </c>
      <c r="B69" s="37">
        <v>200940531</v>
      </c>
      <c r="C69" s="39" t="s">
        <v>80</v>
      </c>
      <c r="D69" s="24">
        <v>3.67</v>
      </c>
      <c r="E69" s="24">
        <v>1.99</v>
      </c>
      <c r="F69" s="24">
        <v>2.83</v>
      </c>
      <c r="G69" s="24">
        <v>0</v>
      </c>
      <c r="H69" s="24">
        <v>0</v>
      </c>
      <c r="I69" s="24">
        <v>3.15</v>
      </c>
      <c r="J69" s="24">
        <f t="shared" si="0"/>
        <v>11.64</v>
      </c>
      <c r="K69" s="24" t="s">
        <v>475</v>
      </c>
      <c r="L69" s="25">
        <f t="shared" si="7"/>
        <v>11.64</v>
      </c>
    </row>
    <row r="70" spans="1:12">
      <c r="A70" s="27">
        <v>58</v>
      </c>
      <c r="B70" s="37">
        <v>200940532</v>
      </c>
      <c r="C70" s="38" t="s">
        <v>81</v>
      </c>
      <c r="D70" s="24">
        <v>7.16</v>
      </c>
      <c r="E70" s="24">
        <v>7.15</v>
      </c>
      <c r="F70" s="24">
        <v>5.25</v>
      </c>
      <c r="G70" s="24">
        <f>+H70</f>
        <v>6.7</v>
      </c>
      <c r="H70" s="24">
        <v>6.7</v>
      </c>
      <c r="I70" s="24">
        <v>3.25</v>
      </c>
      <c r="J70" s="24">
        <f t="shared" si="0"/>
        <v>36.209999999999994</v>
      </c>
      <c r="K70" s="24" t="s">
        <v>475</v>
      </c>
      <c r="L70" s="25">
        <f t="shared" si="7"/>
        <v>36.209999999999994</v>
      </c>
    </row>
    <row r="71" spans="1:12">
      <c r="A71" s="27">
        <v>59</v>
      </c>
      <c r="B71" s="40">
        <v>200940564</v>
      </c>
      <c r="C71" s="42" t="s">
        <v>82</v>
      </c>
      <c r="D71" s="24">
        <v>11.17</v>
      </c>
      <c r="E71" s="24">
        <v>6.0679999999999996</v>
      </c>
      <c r="F71" s="24">
        <v>7.95</v>
      </c>
      <c r="G71" s="24">
        <v>10.050000000000001</v>
      </c>
      <c r="H71" s="24">
        <v>11.17</v>
      </c>
      <c r="I71" s="24">
        <v>4.5</v>
      </c>
      <c r="J71" s="24">
        <f t="shared" si="0"/>
        <v>50.908000000000001</v>
      </c>
      <c r="K71" s="24">
        <v>10.4</v>
      </c>
      <c r="L71" s="25">
        <f t="shared" si="1"/>
        <v>61.308</v>
      </c>
    </row>
    <row r="72" spans="1:12">
      <c r="A72" s="27">
        <v>60</v>
      </c>
      <c r="B72" s="49">
        <v>200940775</v>
      </c>
      <c r="C72" s="50" t="s">
        <v>83</v>
      </c>
      <c r="D72" s="24">
        <v>5.36</v>
      </c>
      <c r="E72" s="24">
        <v>3.09</v>
      </c>
      <c r="F72" s="24">
        <f>G72</f>
        <v>0</v>
      </c>
      <c r="G72" s="24">
        <v>0</v>
      </c>
      <c r="H72" s="24">
        <v>0</v>
      </c>
      <c r="I72" s="24">
        <v>2.9</v>
      </c>
      <c r="J72" s="24">
        <f t="shared" si="0"/>
        <v>11.350000000000001</v>
      </c>
      <c r="K72" s="24" t="s">
        <v>475</v>
      </c>
      <c r="L72" s="25">
        <f>+J72</f>
        <v>11.350000000000001</v>
      </c>
    </row>
    <row r="73" spans="1:12">
      <c r="A73" s="27">
        <v>61</v>
      </c>
      <c r="B73" s="45">
        <v>200940802</v>
      </c>
      <c r="C73" s="46" t="s">
        <v>84</v>
      </c>
      <c r="D73" s="24">
        <v>8.02</v>
      </c>
      <c r="E73" s="24">
        <v>5.31</v>
      </c>
      <c r="F73" s="24">
        <v>4.95</v>
      </c>
      <c r="G73" s="24">
        <v>7.27</v>
      </c>
      <c r="H73" s="24">
        <v>8.17</v>
      </c>
      <c r="I73" s="24">
        <v>4.5</v>
      </c>
      <c r="J73" s="24">
        <f t="shared" si="0"/>
        <v>38.22</v>
      </c>
      <c r="K73" s="24" t="s">
        <v>475</v>
      </c>
      <c r="L73" s="25">
        <f t="shared" ref="L73:L77" si="8">+J73</f>
        <v>38.22</v>
      </c>
    </row>
    <row r="74" spans="1:12">
      <c r="A74" s="27">
        <v>62</v>
      </c>
      <c r="B74" s="45">
        <v>200942768</v>
      </c>
      <c r="C74" s="46" t="s">
        <v>85</v>
      </c>
      <c r="D74" s="24">
        <v>3.97</v>
      </c>
      <c r="E74" s="24">
        <v>3.88</v>
      </c>
      <c r="F74" s="24">
        <v>0</v>
      </c>
      <c r="G74" s="24">
        <v>0</v>
      </c>
      <c r="H74" s="24">
        <v>0</v>
      </c>
      <c r="I74" s="24">
        <v>3</v>
      </c>
      <c r="J74" s="24">
        <f t="shared" si="0"/>
        <v>10.85</v>
      </c>
      <c r="K74" s="24" t="s">
        <v>475</v>
      </c>
      <c r="L74" s="25">
        <f t="shared" si="8"/>
        <v>10.85</v>
      </c>
    </row>
    <row r="75" spans="1:12">
      <c r="A75" s="27">
        <v>63</v>
      </c>
      <c r="B75" s="37">
        <v>200943635</v>
      </c>
      <c r="C75" s="38" t="s">
        <v>86</v>
      </c>
      <c r="D75" s="24">
        <v>6.41</v>
      </c>
      <c r="E75" s="24">
        <v>6.19</v>
      </c>
      <c r="F75" s="24">
        <v>7.99</v>
      </c>
      <c r="G75" s="24">
        <v>7.12</v>
      </c>
      <c r="H75" s="24">
        <v>5.25</v>
      </c>
      <c r="I75" s="24">
        <v>4.5</v>
      </c>
      <c r="J75" s="24">
        <f t="shared" ref="J75:J78" si="9">+I75+H75+G75+F75+E75+D75</f>
        <v>37.46</v>
      </c>
      <c r="K75" s="24" t="s">
        <v>475</v>
      </c>
      <c r="L75" s="25">
        <f t="shared" si="8"/>
        <v>37.46</v>
      </c>
    </row>
    <row r="76" spans="1:12">
      <c r="A76" s="27">
        <v>64</v>
      </c>
      <c r="B76" s="37">
        <v>200944076</v>
      </c>
      <c r="C76" s="38" t="s">
        <v>87</v>
      </c>
      <c r="D76" s="24">
        <v>7.57</v>
      </c>
      <c r="E76" s="24">
        <v>6.23</v>
      </c>
      <c r="F76" s="24">
        <v>5.77</v>
      </c>
      <c r="G76" s="24">
        <v>1.27</v>
      </c>
      <c r="H76" s="24">
        <v>0</v>
      </c>
      <c r="I76" s="24">
        <v>3.05</v>
      </c>
      <c r="J76" s="24">
        <f t="shared" si="9"/>
        <v>23.89</v>
      </c>
      <c r="K76" s="24" t="s">
        <v>475</v>
      </c>
      <c r="L76" s="25">
        <f t="shared" si="8"/>
        <v>23.89</v>
      </c>
    </row>
    <row r="77" spans="1:12">
      <c r="A77" s="27">
        <v>65</v>
      </c>
      <c r="B77" s="37">
        <v>200944407</v>
      </c>
      <c r="C77" s="38" t="s">
        <v>88</v>
      </c>
      <c r="D77" s="24">
        <v>8.02</v>
      </c>
      <c r="E77" s="24">
        <v>4.6900000000000004</v>
      </c>
      <c r="F77" s="24">
        <v>5.85</v>
      </c>
      <c r="G77" s="24">
        <v>0</v>
      </c>
      <c r="H77" s="24">
        <v>0</v>
      </c>
      <c r="I77" s="24">
        <v>3.15</v>
      </c>
      <c r="J77" s="24">
        <f t="shared" si="9"/>
        <v>21.71</v>
      </c>
      <c r="K77" s="24" t="s">
        <v>475</v>
      </c>
      <c r="L77" s="25">
        <f t="shared" si="8"/>
        <v>21.71</v>
      </c>
    </row>
    <row r="78" spans="1:12">
      <c r="A78" s="27">
        <v>66</v>
      </c>
      <c r="B78" s="37">
        <v>200945275</v>
      </c>
      <c r="C78" s="38" t="s">
        <v>89</v>
      </c>
      <c r="D78" s="24">
        <v>8.17</v>
      </c>
      <c r="E78" s="24">
        <v>9.58</v>
      </c>
      <c r="F78" s="24">
        <v>5.73</v>
      </c>
      <c r="G78" s="24">
        <v>10.72</v>
      </c>
      <c r="H78" s="24">
        <v>10.199999999999999</v>
      </c>
      <c r="I78" s="24">
        <v>4.8499999999999996</v>
      </c>
      <c r="J78" s="24">
        <f t="shared" si="9"/>
        <v>49.25</v>
      </c>
      <c r="K78" s="24">
        <v>11.6</v>
      </c>
      <c r="L78" s="25">
        <f t="shared" ref="L78" si="10">+K78+J78</f>
        <v>60.85</v>
      </c>
    </row>
    <row r="79" spans="1:12">
      <c r="A79" s="27">
        <v>67</v>
      </c>
      <c r="B79" s="37">
        <v>200945795</v>
      </c>
      <c r="C79" s="38" t="s">
        <v>90</v>
      </c>
      <c r="D79" s="24">
        <v>4.2</v>
      </c>
      <c r="E79" s="24">
        <v>3.66</v>
      </c>
      <c r="F79" s="24">
        <v>3.24</v>
      </c>
      <c r="G79" s="24">
        <v>0</v>
      </c>
      <c r="H79" s="24">
        <v>0</v>
      </c>
      <c r="I79" s="24">
        <v>3.05</v>
      </c>
      <c r="J79" s="24">
        <f t="shared" ref="J79" si="11">+I79+H79+G79+F79+E79+D79</f>
        <v>14.149999999999999</v>
      </c>
      <c r="K79" s="24" t="s">
        <v>475</v>
      </c>
      <c r="L79" s="25">
        <f>+J79</f>
        <v>14.149999999999999</v>
      </c>
    </row>
    <row r="80" spans="1:12">
      <c r="A80" s="29"/>
      <c r="B80" s="29"/>
      <c r="C80" s="30"/>
      <c r="D80" s="31"/>
      <c r="E80" s="31"/>
      <c r="F80" s="31"/>
      <c r="G80" s="31"/>
      <c r="H80" s="31"/>
      <c r="I80" s="31"/>
      <c r="J80" s="31"/>
      <c r="K80" s="31"/>
      <c r="L80" s="32"/>
    </row>
    <row r="81" spans="1:12">
      <c r="A81" s="29"/>
      <c r="B81" s="29"/>
      <c r="C81" s="30"/>
      <c r="D81" s="31"/>
      <c r="E81" s="31"/>
      <c r="F81" s="31"/>
      <c r="G81" s="31"/>
      <c r="H81" s="31"/>
      <c r="I81" s="31"/>
      <c r="J81" s="31"/>
      <c r="K81" s="31"/>
      <c r="L81" s="32"/>
    </row>
    <row r="82" spans="1:12" ht="17.25" thickBot="1">
      <c r="A82" s="33"/>
      <c r="B82" s="33"/>
      <c r="C82" s="34"/>
      <c r="D82" s="31"/>
      <c r="E82" s="31"/>
      <c r="F82" s="31"/>
      <c r="G82" s="31"/>
      <c r="H82" s="35"/>
      <c r="I82" s="35"/>
      <c r="J82" s="35"/>
      <c r="K82" s="9"/>
      <c r="L82" s="32"/>
    </row>
    <row r="83" spans="1:12">
      <c r="H83" s="100" t="s">
        <v>96</v>
      </c>
      <c r="I83" s="100"/>
      <c r="J83" s="100"/>
      <c r="L83" s="1"/>
    </row>
    <row r="84" spans="1:12">
      <c r="D84" s="36"/>
      <c r="H84" s="100" t="s">
        <v>21</v>
      </c>
      <c r="I84" s="100"/>
      <c r="J84" s="100"/>
      <c r="L84" s="1"/>
    </row>
    <row r="85" spans="1:12">
      <c r="D85" s="36"/>
      <c r="H85" s="100" t="s">
        <v>97</v>
      </c>
      <c r="I85" s="100"/>
      <c r="J85" s="100"/>
      <c r="L85" s="1"/>
    </row>
    <row r="87" spans="1:12" ht="17.25" thickBot="1">
      <c r="A87" s="1" t="s">
        <v>0</v>
      </c>
      <c r="I87" s="3"/>
    </row>
    <row r="88" spans="1:12">
      <c r="A88" s="1" t="s">
        <v>1</v>
      </c>
      <c r="F88" s="4"/>
      <c r="G88" s="5"/>
      <c r="H88" s="6"/>
      <c r="I88" s="7"/>
    </row>
    <row r="89" spans="1:12">
      <c r="A89" s="8" t="s">
        <v>2</v>
      </c>
      <c r="B89" s="9"/>
      <c r="E89" s="7"/>
      <c r="F89" s="10"/>
      <c r="G89" s="11"/>
      <c r="H89" s="12"/>
      <c r="I89" s="7"/>
    </row>
    <row r="90" spans="1:12" ht="17.25" thickBot="1">
      <c r="A90" s="13" t="s">
        <v>3</v>
      </c>
      <c r="B90" s="9"/>
      <c r="E90" s="7"/>
      <c r="F90" s="10"/>
      <c r="G90" s="11"/>
      <c r="H90" s="12"/>
      <c r="I90" s="7"/>
    </row>
    <row r="91" spans="1:12" ht="17.25" thickBot="1">
      <c r="A91" s="14" t="s">
        <v>22</v>
      </c>
      <c r="B91" s="15"/>
      <c r="C91" s="16"/>
      <c r="E91" s="7"/>
      <c r="F91" s="17"/>
      <c r="G91" s="18"/>
      <c r="H91" s="19"/>
      <c r="I91" s="7"/>
    </row>
    <row r="92" spans="1:12">
      <c r="A92" s="8"/>
      <c r="B92" s="9"/>
      <c r="E92" s="7"/>
      <c r="I92" s="3"/>
    </row>
    <row r="93" spans="1:12">
      <c r="A93" s="1" t="s">
        <v>91</v>
      </c>
      <c r="B93" s="9"/>
      <c r="C93" s="20" t="s">
        <v>99</v>
      </c>
      <c r="E93" s="7"/>
      <c r="I93" s="3"/>
    </row>
    <row r="94" spans="1:12">
      <c r="A94" s="1" t="s">
        <v>4</v>
      </c>
      <c r="C94" s="20" t="s">
        <v>98</v>
      </c>
      <c r="I94" s="3"/>
    </row>
    <row r="95" spans="1:12">
      <c r="A95" s="1" t="s">
        <v>5</v>
      </c>
      <c r="C95" s="20" t="s">
        <v>100</v>
      </c>
    </row>
    <row r="96" spans="1:12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2">
      <c r="A97" s="1"/>
      <c r="C97" s="22" t="s">
        <v>6</v>
      </c>
      <c r="D97" s="22" t="s">
        <v>93</v>
      </c>
      <c r="E97" s="22" t="s">
        <v>93</v>
      </c>
      <c r="F97" s="22" t="s">
        <v>93</v>
      </c>
      <c r="G97" s="22" t="s">
        <v>93</v>
      </c>
      <c r="H97" s="22" t="s">
        <v>93</v>
      </c>
      <c r="I97" s="22" t="s">
        <v>94</v>
      </c>
      <c r="J97" s="22" t="s">
        <v>8</v>
      </c>
      <c r="K97" s="22" t="s">
        <v>7</v>
      </c>
      <c r="L97" s="22" t="s">
        <v>9</v>
      </c>
    </row>
    <row r="98" spans="1:12">
      <c r="A98" s="22" t="s">
        <v>10</v>
      </c>
      <c r="B98" s="22" t="s">
        <v>11</v>
      </c>
      <c r="C98" s="22" t="s">
        <v>12</v>
      </c>
      <c r="D98" s="22" t="s">
        <v>13</v>
      </c>
      <c r="E98" s="22" t="s">
        <v>14</v>
      </c>
      <c r="F98" s="22" t="s">
        <v>15</v>
      </c>
      <c r="G98" s="22" t="s">
        <v>16</v>
      </c>
      <c r="H98" s="22" t="s">
        <v>17</v>
      </c>
      <c r="I98" s="22" t="s">
        <v>95</v>
      </c>
      <c r="J98" s="22" t="s">
        <v>18</v>
      </c>
      <c r="K98" s="22" t="s">
        <v>19</v>
      </c>
      <c r="L98" s="22" t="s">
        <v>20</v>
      </c>
    </row>
    <row r="99" spans="1:12">
      <c r="A99" s="23">
        <v>1</v>
      </c>
      <c r="B99" s="37">
        <v>200741800</v>
      </c>
      <c r="C99" s="51" t="s">
        <v>102</v>
      </c>
      <c r="D99" s="24">
        <v>9.4499999999999993</v>
      </c>
      <c r="E99" s="24">
        <v>9.83</v>
      </c>
      <c r="F99" s="24">
        <v>8.75</v>
      </c>
      <c r="G99" s="24">
        <v>8.6300000000000008</v>
      </c>
      <c r="H99" s="24">
        <v>8.85</v>
      </c>
      <c r="I99" s="24">
        <v>4.5</v>
      </c>
      <c r="J99" s="24">
        <f>+I99+H99+G99+F99+E99+D99</f>
        <v>50.010000000000005</v>
      </c>
      <c r="K99" s="24">
        <v>10.6</v>
      </c>
      <c r="L99" s="25">
        <f>+K99+J99</f>
        <v>60.610000000000007</v>
      </c>
    </row>
    <row r="100" spans="1:12">
      <c r="A100" s="26">
        <v>2</v>
      </c>
      <c r="B100" s="40">
        <v>200741813</v>
      </c>
      <c r="C100" s="51" t="s">
        <v>103</v>
      </c>
      <c r="D100" s="24">
        <v>8.44</v>
      </c>
      <c r="E100" s="24">
        <v>3.33</v>
      </c>
      <c r="F100" s="24">
        <v>5.3</v>
      </c>
      <c r="G100" s="24">
        <v>10.199999999999999</v>
      </c>
      <c r="H100" s="24">
        <v>10.47</v>
      </c>
      <c r="I100" s="24">
        <v>3</v>
      </c>
      <c r="J100" s="24">
        <f t="shared" ref="J100:J163" si="12">+I100+H100+G100+F100+E100+D100</f>
        <v>40.74</v>
      </c>
      <c r="K100" s="24" t="s">
        <v>475</v>
      </c>
      <c r="L100" s="25">
        <f>+J100</f>
        <v>40.74</v>
      </c>
    </row>
    <row r="101" spans="1:12">
      <c r="A101" s="27">
        <v>3</v>
      </c>
      <c r="B101" s="37">
        <v>200741817</v>
      </c>
      <c r="C101" s="51" t="s">
        <v>104</v>
      </c>
      <c r="D101" s="24">
        <v>10.199999999999999</v>
      </c>
      <c r="E101" s="24">
        <v>4.96</v>
      </c>
      <c r="F101" s="24">
        <v>7.89</v>
      </c>
      <c r="G101" s="24">
        <v>6</v>
      </c>
      <c r="H101" s="24">
        <v>4.4000000000000004</v>
      </c>
      <c r="I101" s="24">
        <v>4.9000000000000004</v>
      </c>
      <c r="J101" s="24">
        <f t="shared" si="12"/>
        <v>38.35</v>
      </c>
      <c r="K101" s="24" t="s">
        <v>475</v>
      </c>
      <c r="L101" s="25">
        <f t="shared" ref="L101:L103" si="13">+J101</f>
        <v>38.35</v>
      </c>
    </row>
    <row r="102" spans="1:12">
      <c r="A102" s="26">
        <v>4</v>
      </c>
      <c r="B102" s="37">
        <v>200742769</v>
      </c>
      <c r="C102" s="51" t="s">
        <v>105</v>
      </c>
      <c r="D102" s="24">
        <v>4.05</v>
      </c>
      <c r="E102" s="24">
        <v>0.92</v>
      </c>
      <c r="F102" s="24">
        <v>2.92</v>
      </c>
      <c r="G102" s="24">
        <v>0</v>
      </c>
      <c r="H102" s="24">
        <v>0</v>
      </c>
      <c r="I102" s="24">
        <v>2.75</v>
      </c>
      <c r="J102" s="24">
        <f t="shared" si="12"/>
        <v>10.64</v>
      </c>
      <c r="K102" s="24" t="s">
        <v>475</v>
      </c>
      <c r="L102" s="25">
        <f t="shared" si="13"/>
        <v>10.64</v>
      </c>
    </row>
    <row r="103" spans="1:12">
      <c r="A103" s="26">
        <v>5</v>
      </c>
      <c r="B103" s="40">
        <v>200742775</v>
      </c>
      <c r="C103" s="52" t="s">
        <v>106</v>
      </c>
      <c r="D103" s="24">
        <v>4.54</v>
      </c>
      <c r="E103" s="24">
        <v>3.48</v>
      </c>
      <c r="F103" s="24">
        <v>2.2799999999999998</v>
      </c>
      <c r="G103" s="24">
        <v>0.75</v>
      </c>
      <c r="H103" s="24">
        <v>0</v>
      </c>
      <c r="I103" s="24">
        <v>5</v>
      </c>
      <c r="J103" s="24">
        <f t="shared" si="12"/>
        <v>16.05</v>
      </c>
      <c r="K103" s="24" t="s">
        <v>475</v>
      </c>
      <c r="L103" s="25">
        <f t="shared" si="13"/>
        <v>16.05</v>
      </c>
    </row>
    <row r="104" spans="1:12">
      <c r="A104" s="26">
        <v>6</v>
      </c>
      <c r="B104" s="37">
        <v>200742776</v>
      </c>
      <c r="C104" s="51" t="s">
        <v>107</v>
      </c>
      <c r="D104" s="24">
        <v>9.26</v>
      </c>
      <c r="E104" s="24">
        <v>7.76</v>
      </c>
      <c r="F104" s="24">
        <v>8.2799999999999994</v>
      </c>
      <c r="G104" s="24">
        <v>9.9</v>
      </c>
      <c r="H104" s="24">
        <v>10.58</v>
      </c>
      <c r="I104" s="24">
        <v>4.5</v>
      </c>
      <c r="J104" s="24">
        <f t="shared" si="12"/>
        <v>50.279999999999994</v>
      </c>
      <c r="K104" s="24">
        <v>6.8</v>
      </c>
      <c r="L104" s="25">
        <f t="shared" ref="L104:L154" si="14">+K104+J104</f>
        <v>57.079999999999991</v>
      </c>
    </row>
    <row r="105" spans="1:12">
      <c r="A105" s="26">
        <v>7</v>
      </c>
      <c r="B105" s="37">
        <v>200840061</v>
      </c>
      <c r="C105" s="51" t="s">
        <v>108</v>
      </c>
      <c r="D105" s="24">
        <v>2.62</v>
      </c>
      <c r="E105" s="24">
        <v>2.36</v>
      </c>
      <c r="F105" s="24">
        <v>2.36</v>
      </c>
      <c r="G105" s="24">
        <v>0</v>
      </c>
      <c r="H105" s="24">
        <v>0</v>
      </c>
      <c r="I105" s="24">
        <v>0</v>
      </c>
      <c r="J105" s="24">
        <f t="shared" si="12"/>
        <v>7.34</v>
      </c>
      <c r="K105" s="24" t="s">
        <v>475</v>
      </c>
      <c r="L105" s="25">
        <f>+J105</f>
        <v>7.34</v>
      </c>
    </row>
    <row r="106" spans="1:12">
      <c r="A106" s="26">
        <v>8</v>
      </c>
      <c r="B106" s="37">
        <v>200840066</v>
      </c>
      <c r="C106" s="51" t="s">
        <v>109</v>
      </c>
      <c r="D106" s="24">
        <v>9.68</v>
      </c>
      <c r="E106" s="24">
        <v>12.7</v>
      </c>
      <c r="F106" s="24">
        <v>11.49</v>
      </c>
      <c r="G106" s="24">
        <v>12.07</v>
      </c>
      <c r="H106" s="24">
        <v>11.76</v>
      </c>
      <c r="I106" s="24">
        <v>4.5999999999999996</v>
      </c>
      <c r="J106" s="24">
        <f t="shared" si="12"/>
        <v>62.300000000000004</v>
      </c>
      <c r="K106" s="24">
        <v>11.6</v>
      </c>
      <c r="L106" s="25">
        <f t="shared" si="14"/>
        <v>73.900000000000006</v>
      </c>
    </row>
    <row r="107" spans="1:12">
      <c r="A107" s="26">
        <v>9</v>
      </c>
      <c r="B107" s="37">
        <v>200840078</v>
      </c>
      <c r="C107" s="51" t="s">
        <v>110</v>
      </c>
      <c r="D107" s="24">
        <v>4.16</v>
      </c>
      <c r="E107" s="24">
        <v>1.04</v>
      </c>
      <c r="F107" s="24">
        <v>0</v>
      </c>
      <c r="G107" s="24">
        <v>0</v>
      </c>
      <c r="H107" s="24">
        <v>0</v>
      </c>
      <c r="I107" s="24">
        <v>0</v>
      </c>
      <c r="J107" s="24">
        <f t="shared" si="12"/>
        <v>5.2</v>
      </c>
      <c r="K107" s="24" t="s">
        <v>475</v>
      </c>
      <c r="L107" s="25">
        <f>+J107</f>
        <v>5.2</v>
      </c>
    </row>
    <row r="108" spans="1:12">
      <c r="A108" s="26">
        <v>10</v>
      </c>
      <c r="B108" s="37">
        <v>200840159</v>
      </c>
      <c r="C108" s="51" t="s">
        <v>111</v>
      </c>
      <c r="D108" s="24">
        <v>9.19</v>
      </c>
      <c r="E108" s="24">
        <v>10.24</v>
      </c>
      <c r="F108" s="24">
        <v>10.039999999999999</v>
      </c>
      <c r="G108" s="24">
        <v>9.5299999999999994</v>
      </c>
      <c r="H108" s="24">
        <v>11.72</v>
      </c>
      <c r="I108" s="24">
        <v>4.5999999999999996</v>
      </c>
      <c r="J108" s="24">
        <f t="shared" si="12"/>
        <v>55.32</v>
      </c>
      <c r="K108" s="24">
        <v>11.4</v>
      </c>
      <c r="L108" s="25">
        <f t="shared" si="14"/>
        <v>66.72</v>
      </c>
    </row>
    <row r="109" spans="1:12">
      <c r="A109" s="26">
        <v>11</v>
      </c>
      <c r="B109" s="37">
        <v>200840184</v>
      </c>
      <c r="C109" s="51" t="s">
        <v>112</v>
      </c>
      <c r="D109" s="24">
        <v>8.06</v>
      </c>
      <c r="E109" s="24">
        <v>5.14</v>
      </c>
      <c r="F109" s="24">
        <v>5.79</v>
      </c>
      <c r="G109" s="24">
        <v>10.35</v>
      </c>
      <c r="H109" s="28">
        <v>7.18</v>
      </c>
      <c r="I109" s="28">
        <v>5</v>
      </c>
      <c r="J109" s="24">
        <f t="shared" si="12"/>
        <v>41.52</v>
      </c>
      <c r="K109" s="24">
        <v>5.3</v>
      </c>
      <c r="L109" s="25">
        <f t="shared" si="14"/>
        <v>46.82</v>
      </c>
    </row>
    <row r="110" spans="1:12">
      <c r="A110" s="26">
        <v>12</v>
      </c>
      <c r="B110" s="37">
        <v>200840195</v>
      </c>
      <c r="C110" s="51" t="s">
        <v>113</v>
      </c>
      <c r="D110" s="24">
        <v>0.9</v>
      </c>
      <c r="E110" s="24">
        <v>1.17</v>
      </c>
      <c r="F110" s="24">
        <v>2.0299999999999998</v>
      </c>
      <c r="G110" s="24">
        <v>0</v>
      </c>
      <c r="H110" s="28">
        <v>0</v>
      </c>
      <c r="I110" s="28">
        <v>1.4</v>
      </c>
      <c r="J110" s="24">
        <f t="shared" si="12"/>
        <v>5.5</v>
      </c>
      <c r="K110" s="24" t="s">
        <v>475</v>
      </c>
      <c r="L110" s="25">
        <f>+J110</f>
        <v>5.5</v>
      </c>
    </row>
    <row r="111" spans="1:12">
      <c r="A111" s="26">
        <v>13</v>
      </c>
      <c r="B111" s="37">
        <v>200840196</v>
      </c>
      <c r="C111" s="51" t="s">
        <v>114</v>
      </c>
      <c r="D111" s="24">
        <v>12.11</v>
      </c>
      <c r="E111" s="24">
        <v>13.27</v>
      </c>
      <c r="F111" s="24">
        <v>10.97</v>
      </c>
      <c r="G111" s="24">
        <v>13.65</v>
      </c>
      <c r="H111" s="28">
        <v>10.9</v>
      </c>
      <c r="I111" s="28">
        <v>4.5</v>
      </c>
      <c r="J111" s="24">
        <f t="shared" si="12"/>
        <v>65.400000000000006</v>
      </c>
      <c r="K111" s="24">
        <v>10.5</v>
      </c>
      <c r="L111" s="25">
        <f t="shared" si="14"/>
        <v>75.900000000000006</v>
      </c>
    </row>
    <row r="112" spans="1:12">
      <c r="A112" s="23">
        <v>14</v>
      </c>
      <c r="B112" s="37">
        <v>200840208</v>
      </c>
      <c r="C112" s="51" t="s">
        <v>115</v>
      </c>
      <c r="D112" s="24">
        <v>8.36</v>
      </c>
      <c r="E112" s="24">
        <v>1.04</v>
      </c>
      <c r="F112" s="24">
        <v>7.36</v>
      </c>
      <c r="G112" s="24">
        <v>5.63</v>
      </c>
      <c r="H112" s="28">
        <v>9.19</v>
      </c>
      <c r="I112" s="28">
        <v>4.9000000000000004</v>
      </c>
      <c r="J112" s="24">
        <f t="shared" si="12"/>
        <v>36.479999999999997</v>
      </c>
      <c r="K112" s="24" t="s">
        <v>475</v>
      </c>
      <c r="L112" s="25">
        <f>+J112</f>
        <v>36.479999999999997</v>
      </c>
    </row>
    <row r="113" spans="1:12">
      <c r="A113" s="23">
        <v>15</v>
      </c>
      <c r="B113" s="37">
        <v>200840212</v>
      </c>
      <c r="C113" s="51" t="s">
        <v>116</v>
      </c>
      <c r="D113" s="24">
        <v>2.85</v>
      </c>
      <c r="E113" s="24">
        <v>2.81</v>
      </c>
      <c r="F113" s="24">
        <v>2.36</v>
      </c>
      <c r="G113" s="24">
        <v>0</v>
      </c>
      <c r="H113" s="24">
        <v>0</v>
      </c>
      <c r="I113" s="24">
        <v>2.9</v>
      </c>
      <c r="J113" s="24">
        <f t="shared" si="12"/>
        <v>10.92</v>
      </c>
      <c r="K113" s="24" t="s">
        <v>475</v>
      </c>
      <c r="L113" s="25">
        <f>+J113</f>
        <v>10.92</v>
      </c>
    </row>
    <row r="114" spans="1:12">
      <c r="A114" s="23">
        <v>16</v>
      </c>
      <c r="B114" s="37">
        <v>200840224</v>
      </c>
      <c r="C114" s="51" t="s">
        <v>117</v>
      </c>
      <c r="D114" s="24">
        <v>9.15</v>
      </c>
      <c r="E114" s="24">
        <v>10.050000000000001</v>
      </c>
      <c r="F114" s="24">
        <v>7.14</v>
      </c>
      <c r="G114" s="24">
        <v>10.199999999999999</v>
      </c>
      <c r="H114" s="24">
        <v>7.6</v>
      </c>
      <c r="I114" s="24">
        <v>4.5</v>
      </c>
      <c r="J114" s="24">
        <f t="shared" si="12"/>
        <v>48.639999999999993</v>
      </c>
      <c r="K114" s="24">
        <v>10.3</v>
      </c>
      <c r="L114" s="25">
        <f t="shared" si="14"/>
        <v>58.94</v>
      </c>
    </row>
    <row r="115" spans="1:12">
      <c r="A115" s="23">
        <v>17</v>
      </c>
      <c r="B115" s="37">
        <v>200840227</v>
      </c>
      <c r="C115" s="51" t="s">
        <v>118</v>
      </c>
      <c r="D115" s="24">
        <v>5.63</v>
      </c>
      <c r="E115" s="24">
        <v>5.69</v>
      </c>
      <c r="F115" s="24">
        <v>3.14</v>
      </c>
      <c r="G115" s="24">
        <v>2.1800000000000002</v>
      </c>
      <c r="H115" s="24">
        <v>7.15</v>
      </c>
      <c r="I115" s="24">
        <v>3.15</v>
      </c>
      <c r="J115" s="24">
        <f t="shared" si="12"/>
        <v>26.94</v>
      </c>
      <c r="K115" s="24" t="s">
        <v>475</v>
      </c>
      <c r="L115" s="25">
        <f>+J115</f>
        <v>26.94</v>
      </c>
    </row>
    <row r="116" spans="1:12">
      <c r="A116" s="27">
        <v>18</v>
      </c>
      <c r="B116" s="37">
        <v>200842035</v>
      </c>
      <c r="C116" s="51" t="s">
        <v>119</v>
      </c>
      <c r="D116" s="24">
        <v>7.69</v>
      </c>
      <c r="E116" s="24">
        <v>6.94</v>
      </c>
      <c r="F116" s="24">
        <v>5.04</v>
      </c>
      <c r="G116" s="24">
        <v>13.72</v>
      </c>
      <c r="H116" s="24">
        <v>7.13</v>
      </c>
      <c r="I116" s="24">
        <v>5</v>
      </c>
      <c r="J116" s="24">
        <f t="shared" si="12"/>
        <v>45.519999999999996</v>
      </c>
      <c r="K116" s="24">
        <v>8.9</v>
      </c>
      <c r="L116" s="25">
        <f t="shared" si="14"/>
        <v>54.419999999999995</v>
      </c>
    </row>
    <row r="117" spans="1:12">
      <c r="A117" s="27">
        <v>19</v>
      </c>
      <c r="B117" s="37">
        <v>200842055</v>
      </c>
      <c r="C117" s="53" t="s">
        <v>120</v>
      </c>
      <c r="D117" s="24">
        <v>11.02</v>
      </c>
      <c r="E117" s="24">
        <v>11.39</v>
      </c>
      <c r="F117" s="24">
        <v>10.76</v>
      </c>
      <c r="G117" s="24">
        <v>10.28</v>
      </c>
      <c r="H117" s="24">
        <v>10.199999999999999</v>
      </c>
      <c r="I117" s="24">
        <v>5</v>
      </c>
      <c r="J117" s="24">
        <f t="shared" si="12"/>
        <v>58.649999999999991</v>
      </c>
      <c r="K117" s="24">
        <v>9.1999999999999993</v>
      </c>
      <c r="L117" s="25">
        <f t="shared" si="14"/>
        <v>67.849999999999994</v>
      </c>
    </row>
    <row r="118" spans="1:12">
      <c r="A118" s="27">
        <v>20</v>
      </c>
      <c r="B118" s="40">
        <v>200842082</v>
      </c>
      <c r="C118" s="52" t="s">
        <v>121</v>
      </c>
      <c r="D118" s="24">
        <v>8.7799999999999994</v>
      </c>
      <c r="E118" s="24">
        <v>4.8600000000000003</v>
      </c>
      <c r="F118" s="24">
        <v>6.24</v>
      </c>
      <c r="G118" s="24">
        <v>5.93</v>
      </c>
      <c r="H118" s="24">
        <v>11.28</v>
      </c>
      <c r="I118" s="24">
        <v>4.5</v>
      </c>
      <c r="J118" s="24">
        <f t="shared" si="12"/>
        <v>41.59</v>
      </c>
      <c r="K118" s="24">
        <v>5.3</v>
      </c>
      <c r="L118" s="25">
        <f t="shared" si="14"/>
        <v>46.89</v>
      </c>
    </row>
    <row r="119" spans="1:12">
      <c r="A119" s="27">
        <v>21</v>
      </c>
      <c r="B119" s="37">
        <v>200842083</v>
      </c>
      <c r="C119" s="51" t="s">
        <v>122</v>
      </c>
      <c r="D119" s="24">
        <v>6.86</v>
      </c>
      <c r="E119" s="24">
        <v>4.26</v>
      </c>
      <c r="F119" s="24">
        <v>7.77</v>
      </c>
      <c r="G119" s="24">
        <v>4.7300000000000004</v>
      </c>
      <c r="H119" s="24">
        <v>8.4600000000000009</v>
      </c>
      <c r="I119" s="24">
        <v>4.5</v>
      </c>
      <c r="J119" s="24">
        <f t="shared" si="12"/>
        <v>36.58</v>
      </c>
      <c r="K119" s="24" t="s">
        <v>475</v>
      </c>
      <c r="L119" s="25">
        <f>+J119</f>
        <v>36.58</v>
      </c>
    </row>
    <row r="120" spans="1:12">
      <c r="A120" s="27">
        <v>22</v>
      </c>
      <c r="B120" s="37">
        <v>200842123</v>
      </c>
      <c r="C120" s="51" t="s">
        <v>123</v>
      </c>
      <c r="D120" s="24">
        <v>4.42</v>
      </c>
      <c r="E120" s="24">
        <v>3.53</v>
      </c>
      <c r="F120" s="24">
        <v>2.0299999999999998</v>
      </c>
      <c r="G120" s="24">
        <v>0</v>
      </c>
      <c r="H120" s="24">
        <v>0</v>
      </c>
      <c r="I120" s="24">
        <v>2.0499999999999998</v>
      </c>
      <c r="J120" s="24">
        <f t="shared" si="12"/>
        <v>12.03</v>
      </c>
      <c r="K120" s="24" t="s">
        <v>475</v>
      </c>
      <c r="L120" s="25">
        <f t="shared" ref="L120:L129" si="15">+J120</f>
        <v>12.03</v>
      </c>
    </row>
    <row r="121" spans="1:12">
      <c r="A121" s="27">
        <v>23</v>
      </c>
      <c r="B121" s="40">
        <v>200843271</v>
      </c>
      <c r="C121" s="53" t="s">
        <v>124</v>
      </c>
      <c r="D121" s="24">
        <v>2.4</v>
      </c>
      <c r="E121" s="24">
        <v>0.31</v>
      </c>
      <c r="F121" s="24">
        <v>0.9</v>
      </c>
      <c r="G121" s="24">
        <v>0</v>
      </c>
      <c r="H121" s="24">
        <v>0</v>
      </c>
      <c r="I121" s="24">
        <v>1.95</v>
      </c>
      <c r="J121" s="24">
        <f t="shared" si="12"/>
        <v>5.5600000000000005</v>
      </c>
      <c r="K121" s="24" t="s">
        <v>475</v>
      </c>
      <c r="L121" s="25">
        <f t="shared" si="15"/>
        <v>5.5600000000000005</v>
      </c>
    </row>
    <row r="122" spans="1:12">
      <c r="A122" s="27">
        <v>24</v>
      </c>
      <c r="B122" s="37">
        <v>200843353</v>
      </c>
      <c r="C122" s="51" t="s">
        <v>125</v>
      </c>
      <c r="D122" s="24">
        <v>3.3</v>
      </c>
      <c r="E122" s="24">
        <v>4.08</v>
      </c>
      <c r="F122" s="24">
        <v>2.58</v>
      </c>
      <c r="G122" s="24">
        <v>0.53</v>
      </c>
      <c r="H122" s="24">
        <v>0</v>
      </c>
      <c r="I122" s="24">
        <v>3.9</v>
      </c>
      <c r="J122" s="24">
        <f t="shared" si="12"/>
        <v>14.39</v>
      </c>
      <c r="K122" s="24" t="s">
        <v>475</v>
      </c>
      <c r="L122" s="25">
        <f t="shared" si="15"/>
        <v>14.39</v>
      </c>
    </row>
    <row r="123" spans="1:12">
      <c r="A123" s="27">
        <v>25</v>
      </c>
      <c r="B123" s="37">
        <v>200940315</v>
      </c>
      <c r="C123" s="53" t="s">
        <v>126</v>
      </c>
      <c r="D123" s="24">
        <v>4.54</v>
      </c>
      <c r="E123" s="24">
        <v>0</v>
      </c>
      <c r="F123" s="24">
        <v>0</v>
      </c>
      <c r="G123" s="24">
        <v>0</v>
      </c>
      <c r="H123" s="24">
        <v>0</v>
      </c>
      <c r="I123" s="24">
        <v>2.2000000000000002</v>
      </c>
      <c r="J123" s="24">
        <f t="shared" si="12"/>
        <v>6.74</v>
      </c>
      <c r="K123" s="24" t="s">
        <v>475</v>
      </c>
      <c r="L123" s="25">
        <f t="shared" si="15"/>
        <v>6.74</v>
      </c>
    </row>
    <row r="124" spans="1:12">
      <c r="A124" s="27">
        <v>26</v>
      </c>
      <c r="B124" s="37">
        <v>200940317</v>
      </c>
      <c r="C124" s="51" t="s">
        <v>127</v>
      </c>
      <c r="D124" s="24">
        <v>3.78</v>
      </c>
      <c r="E124" s="24">
        <v>7.78</v>
      </c>
      <c r="F124" s="24">
        <v>7.33</v>
      </c>
      <c r="G124" s="24">
        <v>9.3000000000000007</v>
      </c>
      <c r="H124" s="24">
        <v>9.34</v>
      </c>
      <c r="I124" s="24">
        <v>4.25</v>
      </c>
      <c r="J124" s="24">
        <f t="shared" si="12"/>
        <v>41.78</v>
      </c>
      <c r="K124" s="24">
        <v>5.0999999999999996</v>
      </c>
      <c r="L124" s="25">
        <f>+K124+J124</f>
        <v>46.88</v>
      </c>
    </row>
    <row r="125" spans="1:12">
      <c r="A125" s="27">
        <v>27</v>
      </c>
      <c r="B125" s="37">
        <v>200940331</v>
      </c>
      <c r="C125" s="51" t="s">
        <v>128</v>
      </c>
      <c r="D125" s="24">
        <v>3.6</v>
      </c>
      <c r="E125" s="24">
        <v>2.3199999999999998</v>
      </c>
      <c r="F125" s="24">
        <v>2.13</v>
      </c>
      <c r="G125" s="24">
        <v>1.1299999999999999</v>
      </c>
      <c r="H125" s="24">
        <v>0</v>
      </c>
      <c r="I125" s="24">
        <v>2.4500000000000002</v>
      </c>
      <c r="J125" s="24">
        <f t="shared" si="12"/>
        <v>11.629999999999999</v>
      </c>
      <c r="K125" s="24" t="s">
        <v>475</v>
      </c>
      <c r="L125" s="25">
        <f t="shared" si="15"/>
        <v>11.629999999999999</v>
      </c>
    </row>
    <row r="126" spans="1:12">
      <c r="A126" s="27">
        <v>28</v>
      </c>
      <c r="B126" s="37">
        <v>200940334</v>
      </c>
      <c r="C126" s="53" t="s">
        <v>129</v>
      </c>
      <c r="D126" s="24">
        <v>4.76</v>
      </c>
      <c r="E126" s="24">
        <v>5.01</v>
      </c>
      <c r="F126" s="24">
        <v>5.01</v>
      </c>
      <c r="G126" s="24">
        <v>4.13</v>
      </c>
      <c r="H126" s="24">
        <v>0</v>
      </c>
      <c r="I126" s="24">
        <v>3.9</v>
      </c>
      <c r="J126" s="24">
        <f t="shared" si="12"/>
        <v>22.809999999999995</v>
      </c>
      <c r="K126" s="24" t="s">
        <v>475</v>
      </c>
      <c r="L126" s="25">
        <f t="shared" si="15"/>
        <v>22.809999999999995</v>
      </c>
    </row>
    <row r="127" spans="1:12">
      <c r="A127" s="27">
        <v>29</v>
      </c>
      <c r="B127" s="40">
        <v>200940336</v>
      </c>
      <c r="C127" s="54" t="s">
        <v>130</v>
      </c>
      <c r="D127" s="24">
        <v>5.36</v>
      </c>
      <c r="E127" s="24">
        <v>4.3600000000000003</v>
      </c>
      <c r="F127" s="24">
        <v>4.46</v>
      </c>
      <c r="G127" s="24">
        <v>4.28</v>
      </c>
      <c r="H127" s="24">
        <v>0</v>
      </c>
      <c r="I127" s="24">
        <v>5</v>
      </c>
      <c r="J127" s="24">
        <f t="shared" si="12"/>
        <v>23.46</v>
      </c>
      <c r="K127" s="24" t="s">
        <v>475</v>
      </c>
      <c r="L127" s="25">
        <f t="shared" si="15"/>
        <v>23.46</v>
      </c>
    </row>
    <row r="128" spans="1:12">
      <c r="A128" s="27">
        <v>30</v>
      </c>
      <c r="B128" s="37">
        <v>200940345</v>
      </c>
      <c r="C128" s="51" t="s">
        <v>131</v>
      </c>
      <c r="D128" s="24">
        <v>5.4</v>
      </c>
      <c r="E128" s="24">
        <v>5.58</v>
      </c>
      <c r="F128" s="24">
        <v>4.92</v>
      </c>
      <c r="G128" s="24">
        <v>3.45</v>
      </c>
      <c r="H128" s="24">
        <v>0</v>
      </c>
      <c r="I128" s="24">
        <v>2.2999999999999998</v>
      </c>
      <c r="J128" s="24">
        <f t="shared" si="12"/>
        <v>21.65</v>
      </c>
      <c r="K128" s="24" t="s">
        <v>475</v>
      </c>
      <c r="L128" s="25">
        <f t="shared" si="15"/>
        <v>21.65</v>
      </c>
    </row>
    <row r="129" spans="1:12">
      <c r="A129" s="27">
        <v>31</v>
      </c>
      <c r="B129" s="37">
        <v>200940347</v>
      </c>
      <c r="C129" s="51" t="s">
        <v>132</v>
      </c>
      <c r="D129" s="24">
        <v>2.7</v>
      </c>
      <c r="E129" s="24">
        <v>1.1200000000000001</v>
      </c>
      <c r="F129" s="24">
        <v>2.91</v>
      </c>
      <c r="G129" s="24">
        <v>0</v>
      </c>
      <c r="H129" s="24">
        <v>0</v>
      </c>
      <c r="I129" s="24">
        <v>3.25</v>
      </c>
      <c r="J129" s="24">
        <f t="shared" si="12"/>
        <v>9.98</v>
      </c>
      <c r="K129" s="24" t="s">
        <v>475</v>
      </c>
      <c r="L129" s="25">
        <f t="shared" si="15"/>
        <v>9.98</v>
      </c>
    </row>
    <row r="130" spans="1:12">
      <c r="A130" s="27">
        <v>32</v>
      </c>
      <c r="B130" s="37">
        <v>200940349</v>
      </c>
      <c r="C130" s="53" t="s">
        <v>133</v>
      </c>
      <c r="D130" s="24">
        <v>6.75</v>
      </c>
      <c r="E130" s="24">
        <v>5.21</v>
      </c>
      <c r="F130" s="24">
        <v>9.7200000000000006</v>
      </c>
      <c r="G130" s="24">
        <v>8.33</v>
      </c>
      <c r="H130" s="24">
        <v>9.06</v>
      </c>
      <c r="I130" s="24">
        <v>5</v>
      </c>
      <c r="J130" s="24">
        <f t="shared" si="12"/>
        <v>44.07</v>
      </c>
      <c r="K130" s="24">
        <v>3.6</v>
      </c>
      <c r="L130" s="25">
        <f t="shared" si="14"/>
        <v>47.67</v>
      </c>
    </row>
    <row r="131" spans="1:12">
      <c r="A131" s="27">
        <v>33</v>
      </c>
      <c r="B131" s="37">
        <v>200940350</v>
      </c>
      <c r="C131" s="51" t="s">
        <v>134</v>
      </c>
      <c r="D131" s="24">
        <v>8.6300000000000008</v>
      </c>
      <c r="E131" s="24">
        <v>8.69</v>
      </c>
      <c r="F131" s="24">
        <v>7.16</v>
      </c>
      <c r="G131" s="24">
        <v>9.08</v>
      </c>
      <c r="H131" s="24">
        <v>8.23</v>
      </c>
      <c r="I131" s="24">
        <v>5</v>
      </c>
      <c r="J131" s="24">
        <f t="shared" si="12"/>
        <v>46.790000000000006</v>
      </c>
      <c r="K131" s="24">
        <v>3.3</v>
      </c>
      <c r="L131" s="25">
        <f t="shared" si="14"/>
        <v>50.09</v>
      </c>
    </row>
    <row r="132" spans="1:12">
      <c r="A132" s="27">
        <v>34</v>
      </c>
      <c r="B132" s="37">
        <v>200940483</v>
      </c>
      <c r="C132" s="51" t="s">
        <v>135</v>
      </c>
      <c r="D132" s="24">
        <v>6.71</v>
      </c>
      <c r="E132" s="24">
        <v>6.2</v>
      </c>
      <c r="F132" s="24">
        <v>6.21</v>
      </c>
      <c r="G132" s="24">
        <v>10.5</v>
      </c>
      <c r="H132" s="24">
        <v>12.03</v>
      </c>
      <c r="I132" s="24">
        <v>5</v>
      </c>
      <c r="J132" s="24">
        <f t="shared" si="12"/>
        <v>46.650000000000006</v>
      </c>
      <c r="K132" s="24">
        <v>10.1</v>
      </c>
      <c r="L132" s="25">
        <f t="shared" si="14"/>
        <v>56.750000000000007</v>
      </c>
    </row>
    <row r="133" spans="1:12">
      <c r="A133" s="27">
        <v>35</v>
      </c>
      <c r="B133" s="37">
        <v>200940489</v>
      </c>
      <c r="C133" s="51" t="s">
        <v>136</v>
      </c>
      <c r="D133" s="24">
        <v>7.58</v>
      </c>
      <c r="E133" s="24">
        <v>5.52</v>
      </c>
      <c r="F133" s="24">
        <v>8.09</v>
      </c>
      <c r="G133" s="24">
        <v>6.08</v>
      </c>
      <c r="H133" s="24">
        <v>9.6300000000000008</v>
      </c>
      <c r="I133" s="24">
        <v>5</v>
      </c>
      <c r="J133" s="24">
        <f t="shared" si="12"/>
        <v>41.9</v>
      </c>
      <c r="K133" s="24">
        <v>3.4</v>
      </c>
      <c r="L133" s="25">
        <f t="shared" si="14"/>
        <v>45.3</v>
      </c>
    </row>
    <row r="134" spans="1:12">
      <c r="A134" s="27">
        <v>36</v>
      </c>
      <c r="B134" s="37">
        <v>200940504</v>
      </c>
      <c r="C134" s="51" t="s">
        <v>137</v>
      </c>
      <c r="D134" s="24">
        <v>8.36</v>
      </c>
      <c r="E134" s="24">
        <v>3.19</v>
      </c>
      <c r="F134" s="24">
        <v>0</v>
      </c>
      <c r="G134" s="24">
        <v>0</v>
      </c>
      <c r="H134" s="24">
        <v>0</v>
      </c>
      <c r="I134" s="24">
        <v>1.7</v>
      </c>
      <c r="J134" s="24">
        <f t="shared" si="12"/>
        <v>13.25</v>
      </c>
      <c r="K134" s="24" t="s">
        <v>475</v>
      </c>
      <c r="L134" s="25">
        <f>+J134</f>
        <v>13.25</v>
      </c>
    </row>
    <row r="135" spans="1:12">
      <c r="A135" s="27">
        <v>37</v>
      </c>
      <c r="B135" s="37">
        <v>200940512</v>
      </c>
      <c r="C135" s="51" t="s">
        <v>138</v>
      </c>
      <c r="D135" s="24">
        <v>4.2</v>
      </c>
      <c r="E135" s="24">
        <v>2.0299999999999998</v>
      </c>
      <c r="F135" s="24">
        <v>3.48</v>
      </c>
      <c r="G135" s="24">
        <v>0.45</v>
      </c>
      <c r="H135" s="24">
        <v>0</v>
      </c>
      <c r="I135" s="24">
        <v>3.35</v>
      </c>
      <c r="J135" s="24">
        <f t="shared" si="12"/>
        <v>13.510000000000002</v>
      </c>
      <c r="K135" s="24" t="s">
        <v>475</v>
      </c>
      <c r="L135" s="25">
        <f t="shared" ref="L135:L142" si="16">+J135</f>
        <v>13.510000000000002</v>
      </c>
    </row>
    <row r="136" spans="1:12">
      <c r="A136" s="27">
        <v>38</v>
      </c>
      <c r="B136" s="37">
        <v>200940522</v>
      </c>
      <c r="C136" s="51" t="s">
        <v>139</v>
      </c>
      <c r="D136" s="24">
        <v>5.51</v>
      </c>
      <c r="E136" s="24">
        <v>2.48</v>
      </c>
      <c r="F136" s="24">
        <v>2.13</v>
      </c>
      <c r="G136" s="24">
        <v>0.45</v>
      </c>
      <c r="H136" s="24">
        <v>0</v>
      </c>
      <c r="I136" s="24">
        <v>1.1000000000000001</v>
      </c>
      <c r="J136" s="24">
        <f t="shared" si="12"/>
        <v>11.67</v>
      </c>
      <c r="K136" s="24" t="s">
        <v>475</v>
      </c>
      <c r="L136" s="25">
        <f t="shared" si="16"/>
        <v>11.67</v>
      </c>
    </row>
    <row r="137" spans="1:12">
      <c r="A137" s="27">
        <v>39</v>
      </c>
      <c r="B137" s="37">
        <v>200940526</v>
      </c>
      <c r="C137" s="51" t="s">
        <v>140</v>
      </c>
      <c r="D137" s="24">
        <v>4.09</v>
      </c>
      <c r="E137" s="24">
        <v>1.77</v>
      </c>
      <c r="F137" s="24">
        <v>2.91</v>
      </c>
      <c r="G137" s="24">
        <v>0.6</v>
      </c>
      <c r="H137" s="24">
        <v>0</v>
      </c>
      <c r="I137" s="24">
        <v>3.9</v>
      </c>
      <c r="J137" s="24">
        <f t="shared" si="12"/>
        <v>13.27</v>
      </c>
      <c r="K137" s="24" t="s">
        <v>475</v>
      </c>
      <c r="L137" s="25">
        <f t="shared" si="16"/>
        <v>13.27</v>
      </c>
    </row>
    <row r="138" spans="1:12">
      <c r="A138" s="27">
        <v>40</v>
      </c>
      <c r="B138" s="40">
        <v>200940527</v>
      </c>
      <c r="C138" s="52" t="s">
        <v>141</v>
      </c>
      <c r="D138" s="24">
        <v>7.46</v>
      </c>
      <c r="E138" s="24">
        <v>4.1399999999999997</v>
      </c>
      <c r="F138" s="24">
        <v>5.79</v>
      </c>
      <c r="G138" s="24">
        <v>2.78</v>
      </c>
      <c r="H138" s="24">
        <v>2.93</v>
      </c>
      <c r="I138" s="24">
        <v>5</v>
      </c>
      <c r="J138" s="24">
        <f t="shared" si="12"/>
        <v>28.1</v>
      </c>
      <c r="K138" s="24" t="s">
        <v>475</v>
      </c>
      <c r="L138" s="25">
        <f t="shared" si="16"/>
        <v>28.1</v>
      </c>
    </row>
    <row r="139" spans="1:12">
      <c r="A139" s="27">
        <v>41</v>
      </c>
      <c r="B139" s="37">
        <v>200940534</v>
      </c>
      <c r="C139" s="51" t="s">
        <v>142</v>
      </c>
      <c r="D139" s="24">
        <v>3.56</v>
      </c>
      <c r="E139" s="24">
        <v>4.71</v>
      </c>
      <c r="F139" s="24">
        <v>6.96</v>
      </c>
      <c r="G139" s="24">
        <v>4.2</v>
      </c>
      <c r="H139" s="24">
        <v>0</v>
      </c>
      <c r="I139" s="24">
        <v>3.9</v>
      </c>
      <c r="J139" s="24">
        <f t="shared" si="12"/>
        <v>23.33</v>
      </c>
      <c r="K139" s="24" t="s">
        <v>475</v>
      </c>
      <c r="L139" s="25">
        <f t="shared" si="16"/>
        <v>23.33</v>
      </c>
    </row>
    <row r="140" spans="1:12">
      <c r="A140" s="27">
        <v>42</v>
      </c>
      <c r="B140" s="37">
        <v>200940535</v>
      </c>
      <c r="C140" s="51" t="s">
        <v>143</v>
      </c>
      <c r="D140" s="24">
        <v>6.86</v>
      </c>
      <c r="E140" s="24">
        <v>4.34</v>
      </c>
      <c r="F140" s="24">
        <v>0</v>
      </c>
      <c r="G140" s="24">
        <v>0</v>
      </c>
      <c r="H140" s="24">
        <v>0</v>
      </c>
      <c r="I140" s="24">
        <v>5</v>
      </c>
      <c r="J140" s="24">
        <f t="shared" si="12"/>
        <v>16.2</v>
      </c>
      <c r="K140" s="24" t="s">
        <v>475</v>
      </c>
      <c r="L140" s="25">
        <f t="shared" si="16"/>
        <v>16.2</v>
      </c>
    </row>
    <row r="141" spans="1:12">
      <c r="A141" s="27">
        <v>43</v>
      </c>
      <c r="B141" s="37">
        <v>200940813</v>
      </c>
      <c r="C141" s="51" t="s">
        <v>144</v>
      </c>
      <c r="D141" s="24">
        <v>2.4</v>
      </c>
      <c r="E141" s="24">
        <v>3.24</v>
      </c>
      <c r="F141" s="24">
        <v>2.93</v>
      </c>
      <c r="G141" s="24">
        <v>0</v>
      </c>
      <c r="H141" s="24">
        <v>0</v>
      </c>
      <c r="I141" s="24">
        <v>4.05</v>
      </c>
      <c r="J141" s="24">
        <f t="shared" si="12"/>
        <v>12.620000000000001</v>
      </c>
      <c r="K141" s="24" t="s">
        <v>475</v>
      </c>
      <c r="L141" s="25">
        <f t="shared" si="16"/>
        <v>12.620000000000001</v>
      </c>
    </row>
    <row r="142" spans="1:12">
      <c r="A142" s="27">
        <v>44</v>
      </c>
      <c r="B142" s="40">
        <v>200940882</v>
      </c>
      <c r="C142" s="54" t="s">
        <v>145</v>
      </c>
      <c r="D142" s="24">
        <v>5.03</v>
      </c>
      <c r="E142" s="24">
        <v>2.5299999999999998</v>
      </c>
      <c r="F142" s="24">
        <v>6.6</v>
      </c>
      <c r="G142" s="24">
        <v>1.2</v>
      </c>
      <c r="H142" s="24">
        <v>2.61</v>
      </c>
      <c r="I142" s="24">
        <v>3.75</v>
      </c>
      <c r="J142" s="24">
        <f t="shared" si="12"/>
        <v>21.720000000000002</v>
      </c>
      <c r="K142" s="24" t="s">
        <v>475</v>
      </c>
      <c r="L142" s="25">
        <f t="shared" si="16"/>
        <v>21.720000000000002</v>
      </c>
    </row>
    <row r="143" spans="1:12">
      <c r="A143" s="27">
        <v>45</v>
      </c>
      <c r="B143" s="37">
        <v>200941031</v>
      </c>
      <c r="C143" s="51" t="s">
        <v>146</v>
      </c>
      <c r="D143" s="24">
        <v>7.99</v>
      </c>
      <c r="E143" s="24">
        <v>9.49</v>
      </c>
      <c r="F143" s="24">
        <v>9.69</v>
      </c>
      <c r="G143" s="24">
        <v>8.93</v>
      </c>
      <c r="H143" s="24">
        <v>11.78</v>
      </c>
      <c r="I143" s="24">
        <v>5</v>
      </c>
      <c r="J143" s="24">
        <f t="shared" si="12"/>
        <v>52.88</v>
      </c>
      <c r="K143" s="24">
        <v>9.1999999999999993</v>
      </c>
      <c r="L143" s="25">
        <f t="shared" si="14"/>
        <v>62.08</v>
      </c>
    </row>
    <row r="144" spans="1:12">
      <c r="A144" s="27">
        <v>46</v>
      </c>
      <c r="B144" s="37">
        <v>200941043</v>
      </c>
      <c r="C144" s="53" t="s">
        <v>147</v>
      </c>
      <c r="D144" s="24">
        <v>6.27</v>
      </c>
      <c r="E144" s="24">
        <v>3.84</v>
      </c>
      <c r="F144" s="24">
        <v>5.79</v>
      </c>
      <c r="G144" s="24">
        <v>3.23</v>
      </c>
      <c r="H144" s="24">
        <v>1.65</v>
      </c>
      <c r="I144" s="24">
        <v>2.0499999999999998</v>
      </c>
      <c r="J144" s="24">
        <f t="shared" si="12"/>
        <v>22.83</v>
      </c>
      <c r="K144" s="24" t="s">
        <v>475</v>
      </c>
      <c r="L144" s="25">
        <f>+J144</f>
        <v>22.83</v>
      </c>
    </row>
    <row r="145" spans="1:12">
      <c r="A145" s="27">
        <v>47</v>
      </c>
      <c r="B145" s="37">
        <v>200941044</v>
      </c>
      <c r="C145" s="51" t="s">
        <v>148</v>
      </c>
      <c r="D145" s="24">
        <v>6</v>
      </c>
      <c r="E145" s="24">
        <v>8.76</v>
      </c>
      <c r="F145" s="24">
        <v>7.68</v>
      </c>
      <c r="G145" s="24">
        <v>6.52</v>
      </c>
      <c r="H145" s="24">
        <v>4.58</v>
      </c>
      <c r="I145" s="24">
        <v>3.9</v>
      </c>
      <c r="J145" s="24">
        <f t="shared" si="12"/>
        <v>37.44</v>
      </c>
      <c r="K145" s="24" t="s">
        <v>475</v>
      </c>
      <c r="L145" s="25">
        <f>+J145</f>
        <v>37.44</v>
      </c>
    </row>
    <row r="146" spans="1:12">
      <c r="A146" s="27">
        <v>48</v>
      </c>
      <c r="B146" s="40">
        <v>200941046</v>
      </c>
      <c r="C146" s="52" t="s">
        <v>149</v>
      </c>
      <c r="D146" s="24">
        <v>10.39</v>
      </c>
      <c r="E146" s="24">
        <v>9.24</v>
      </c>
      <c r="F146" s="24">
        <v>6.6</v>
      </c>
      <c r="G146" s="24">
        <v>3.98</v>
      </c>
      <c r="H146" s="24">
        <v>9.99</v>
      </c>
      <c r="I146" s="24">
        <v>5</v>
      </c>
      <c r="J146" s="24">
        <f t="shared" si="12"/>
        <v>45.2</v>
      </c>
      <c r="K146" s="24">
        <v>6.6</v>
      </c>
      <c r="L146" s="25">
        <f t="shared" si="14"/>
        <v>51.800000000000004</v>
      </c>
    </row>
    <row r="147" spans="1:12">
      <c r="A147" s="27">
        <v>49</v>
      </c>
      <c r="B147" s="40">
        <v>200941422</v>
      </c>
      <c r="C147" s="52" t="s">
        <v>150</v>
      </c>
      <c r="D147" s="24">
        <v>3.04</v>
      </c>
      <c r="E147" s="24">
        <v>0.5</v>
      </c>
      <c r="F147" s="24">
        <v>0</v>
      </c>
      <c r="G147" s="24">
        <v>0</v>
      </c>
      <c r="H147" s="24">
        <v>0</v>
      </c>
      <c r="I147" s="24">
        <v>3.35</v>
      </c>
      <c r="J147" s="24">
        <f t="shared" si="12"/>
        <v>6.8900000000000006</v>
      </c>
      <c r="K147" s="24" t="s">
        <v>475</v>
      </c>
      <c r="L147" s="25">
        <f>+J147</f>
        <v>6.8900000000000006</v>
      </c>
    </row>
    <row r="148" spans="1:12">
      <c r="A148" s="27">
        <v>50</v>
      </c>
      <c r="B148" s="40">
        <v>200941434</v>
      </c>
      <c r="C148" s="55" t="s">
        <v>151</v>
      </c>
      <c r="D148" s="24">
        <v>5.4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f t="shared" si="12"/>
        <v>5.4</v>
      </c>
      <c r="K148" s="24" t="s">
        <v>475</v>
      </c>
      <c r="L148" s="25">
        <f t="shared" ref="L148:L153" si="17">+J148</f>
        <v>5.4</v>
      </c>
    </row>
    <row r="149" spans="1:12">
      <c r="A149" s="27">
        <v>51</v>
      </c>
      <c r="B149" s="37">
        <v>200941685</v>
      </c>
      <c r="C149" s="51" t="s">
        <v>152</v>
      </c>
      <c r="D149" s="24">
        <v>3.83</v>
      </c>
      <c r="E149" s="24">
        <v>3.07</v>
      </c>
      <c r="F149" s="24">
        <v>7.65</v>
      </c>
      <c r="G149" s="24">
        <v>0.68</v>
      </c>
      <c r="H149" s="24">
        <v>0</v>
      </c>
      <c r="I149" s="24">
        <v>3.5</v>
      </c>
      <c r="J149" s="24">
        <f t="shared" si="12"/>
        <v>18.73</v>
      </c>
      <c r="K149" s="24" t="s">
        <v>475</v>
      </c>
      <c r="L149" s="25">
        <f t="shared" si="17"/>
        <v>18.73</v>
      </c>
    </row>
    <row r="150" spans="1:12">
      <c r="A150" s="27">
        <v>52</v>
      </c>
      <c r="B150" s="37">
        <v>200941860</v>
      </c>
      <c r="C150" s="53" t="s">
        <v>153</v>
      </c>
      <c r="D150" s="24">
        <v>4.3499999999999996</v>
      </c>
      <c r="E150" s="24">
        <v>1</v>
      </c>
      <c r="F150" s="24">
        <v>0</v>
      </c>
      <c r="G150" s="24">
        <v>0</v>
      </c>
      <c r="H150" s="24">
        <v>0</v>
      </c>
      <c r="I150" s="24">
        <v>1.1499999999999999</v>
      </c>
      <c r="J150" s="24">
        <f t="shared" si="12"/>
        <v>6.5</v>
      </c>
      <c r="K150" s="24" t="s">
        <v>475</v>
      </c>
      <c r="L150" s="25">
        <f t="shared" si="17"/>
        <v>6.5</v>
      </c>
    </row>
    <row r="151" spans="1:12">
      <c r="A151" s="27">
        <v>53</v>
      </c>
      <c r="B151" s="37">
        <v>200942657</v>
      </c>
      <c r="C151" s="51" t="s">
        <v>154</v>
      </c>
      <c r="D151" s="24">
        <v>8.51</v>
      </c>
      <c r="E151" s="24">
        <v>1.18</v>
      </c>
      <c r="F151" s="24">
        <v>2.58</v>
      </c>
      <c r="G151" s="24">
        <v>0</v>
      </c>
      <c r="H151" s="24">
        <v>0</v>
      </c>
      <c r="I151" s="24">
        <v>0</v>
      </c>
      <c r="J151" s="24">
        <f t="shared" si="12"/>
        <v>12.27</v>
      </c>
      <c r="K151" s="24" t="s">
        <v>475</v>
      </c>
      <c r="L151" s="25">
        <f t="shared" si="17"/>
        <v>12.27</v>
      </c>
    </row>
    <row r="152" spans="1:12">
      <c r="A152" s="27">
        <v>54</v>
      </c>
      <c r="B152" s="37">
        <v>200942659</v>
      </c>
      <c r="C152" s="51" t="s">
        <v>155</v>
      </c>
      <c r="D152" s="24">
        <v>5.36</v>
      </c>
      <c r="E152" s="24">
        <v>3.37</v>
      </c>
      <c r="F152" s="24">
        <v>7.77</v>
      </c>
      <c r="G152" s="24">
        <v>4.58</v>
      </c>
      <c r="H152" s="24">
        <v>0</v>
      </c>
      <c r="I152" s="24">
        <v>3.9</v>
      </c>
      <c r="J152" s="24">
        <f t="shared" si="12"/>
        <v>24.98</v>
      </c>
      <c r="K152" s="24" t="s">
        <v>475</v>
      </c>
      <c r="L152" s="25">
        <f t="shared" si="17"/>
        <v>24.98</v>
      </c>
    </row>
    <row r="153" spans="1:12">
      <c r="A153" s="27">
        <v>55</v>
      </c>
      <c r="B153" s="37">
        <v>200942662</v>
      </c>
      <c r="C153" s="51" t="s">
        <v>156</v>
      </c>
      <c r="D153" s="24">
        <v>5.7</v>
      </c>
      <c r="E153" s="24">
        <v>1.39</v>
      </c>
      <c r="F153" s="24">
        <v>4.3499999999999996</v>
      </c>
      <c r="G153" s="24">
        <v>0.98</v>
      </c>
      <c r="H153" s="24">
        <v>0</v>
      </c>
      <c r="I153" s="24">
        <v>2.95</v>
      </c>
      <c r="J153" s="24">
        <f t="shared" si="12"/>
        <v>15.370000000000001</v>
      </c>
      <c r="K153" s="24" t="s">
        <v>475</v>
      </c>
      <c r="L153" s="25">
        <f t="shared" si="17"/>
        <v>15.370000000000001</v>
      </c>
    </row>
    <row r="154" spans="1:12">
      <c r="A154" s="27">
        <v>56</v>
      </c>
      <c r="B154" s="49">
        <v>200942689</v>
      </c>
      <c r="C154" s="55" t="s">
        <v>157</v>
      </c>
      <c r="D154" s="24">
        <v>9.23</v>
      </c>
      <c r="E154" s="24">
        <v>7</v>
      </c>
      <c r="F154" s="24">
        <v>5.6</v>
      </c>
      <c r="G154" s="24">
        <v>8.77</v>
      </c>
      <c r="H154" s="24">
        <v>12.1</v>
      </c>
      <c r="I154" s="24">
        <v>5</v>
      </c>
      <c r="J154" s="24">
        <f t="shared" si="12"/>
        <v>47.7</v>
      </c>
      <c r="K154" s="24">
        <v>6.7</v>
      </c>
      <c r="L154" s="25">
        <f t="shared" si="14"/>
        <v>54.400000000000006</v>
      </c>
    </row>
    <row r="155" spans="1:12">
      <c r="A155" s="27">
        <v>57</v>
      </c>
      <c r="B155" s="45">
        <v>200942711</v>
      </c>
      <c r="C155" s="56" t="s">
        <v>158</v>
      </c>
      <c r="D155" s="24">
        <v>3.45</v>
      </c>
      <c r="E155" s="24">
        <v>1.27</v>
      </c>
      <c r="F155" s="24">
        <v>4.6399999999999997</v>
      </c>
      <c r="G155" s="24">
        <v>1.5</v>
      </c>
      <c r="H155" s="24">
        <v>0</v>
      </c>
      <c r="I155" s="24">
        <v>0</v>
      </c>
      <c r="J155" s="24">
        <f t="shared" si="12"/>
        <v>10.86</v>
      </c>
      <c r="K155" s="24" t="s">
        <v>475</v>
      </c>
      <c r="L155" s="25">
        <f>+J155</f>
        <v>10.86</v>
      </c>
    </row>
    <row r="156" spans="1:12">
      <c r="A156" s="27">
        <v>58</v>
      </c>
      <c r="B156" s="45">
        <v>200942840</v>
      </c>
      <c r="C156" s="56" t="s">
        <v>159</v>
      </c>
      <c r="D156" s="24">
        <v>8.33</v>
      </c>
      <c r="E156" s="24">
        <v>4.41</v>
      </c>
      <c r="F156" s="24">
        <v>6.15</v>
      </c>
      <c r="G156" s="24">
        <v>3.08</v>
      </c>
      <c r="H156" s="24">
        <v>0</v>
      </c>
      <c r="I156" s="24">
        <v>4</v>
      </c>
      <c r="J156" s="24">
        <f t="shared" si="12"/>
        <v>25.97</v>
      </c>
      <c r="K156" s="24" t="s">
        <v>475</v>
      </c>
      <c r="L156" s="25">
        <f t="shared" ref="L156:L163" si="18">+J156</f>
        <v>25.97</v>
      </c>
    </row>
    <row r="157" spans="1:12">
      <c r="A157" s="27">
        <v>59</v>
      </c>
      <c r="B157" s="45">
        <v>200943360</v>
      </c>
      <c r="C157" s="56" t="s">
        <v>160</v>
      </c>
      <c r="D157" s="24">
        <v>2.4</v>
      </c>
      <c r="E157" s="24">
        <v>0</v>
      </c>
      <c r="F157" s="24">
        <v>0</v>
      </c>
      <c r="G157" s="24">
        <v>0</v>
      </c>
      <c r="H157" s="24">
        <v>0</v>
      </c>
      <c r="I157" s="24">
        <v>3</v>
      </c>
      <c r="J157" s="24">
        <f t="shared" si="12"/>
        <v>5.4</v>
      </c>
      <c r="K157" s="24" t="s">
        <v>475</v>
      </c>
      <c r="L157" s="25">
        <f t="shared" si="18"/>
        <v>5.4</v>
      </c>
    </row>
    <row r="158" spans="1:12">
      <c r="A158" s="27">
        <v>60</v>
      </c>
      <c r="B158" s="37">
        <v>200944091</v>
      </c>
      <c r="C158" s="53" t="s">
        <v>161</v>
      </c>
      <c r="D158" s="24">
        <v>5.96</v>
      </c>
      <c r="E158" s="24">
        <v>4.6500000000000004</v>
      </c>
      <c r="F158" s="24">
        <v>7.13</v>
      </c>
      <c r="G158" s="24">
        <v>3.3</v>
      </c>
      <c r="H158" s="24">
        <v>0</v>
      </c>
      <c r="I158" s="24">
        <v>3.9</v>
      </c>
      <c r="J158" s="24">
        <f t="shared" si="12"/>
        <v>24.939999999999998</v>
      </c>
      <c r="K158" s="24" t="s">
        <v>475</v>
      </c>
      <c r="L158" s="25">
        <f t="shared" si="18"/>
        <v>24.939999999999998</v>
      </c>
    </row>
    <row r="159" spans="1:12">
      <c r="A159" s="27">
        <v>61</v>
      </c>
      <c r="B159" s="37">
        <v>200944093</v>
      </c>
      <c r="C159" s="53" t="s">
        <v>162</v>
      </c>
      <c r="D159" s="24">
        <v>6.71</v>
      </c>
      <c r="E159" s="24">
        <v>7.78</v>
      </c>
      <c r="F159" s="24">
        <v>6.89</v>
      </c>
      <c r="G159" s="24">
        <v>5.7</v>
      </c>
      <c r="H159" s="24">
        <v>0</v>
      </c>
      <c r="I159" s="24">
        <v>3.9</v>
      </c>
      <c r="J159" s="24">
        <f t="shared" si="12"/>
        <v>30.98</v>
      </c>
      <c r="K159" s="24" t="s">
        <v>475</v>
      </c>
      <c r="L159" s="25">
        <f t="shared" si="18"/>
        <v>30.98</v>
      </c>
    </row>
    <row r="160" spans="1:12">
      <c r="A160" s="27">
        <v>62</v>
      </c>
      <c r="B160" s="37">
        <v>200944809</v>
      </c>
      <c r="C160" s="51" t="s">
        <v>163</v>
      </c>
      <c r="D160" s="24">
        <v>5.21</v>
      </c>
      <c r="E160" s="24">
        <v>2.34</v>
      </c>
      <c r="F160" s="24">
        <v>4.55</v>
      </c>
      <c r="G160" s="24">
        <v>0</v>
      </c>
      <c r="H160" s="24">
        <v>0</v>
      </c>
      <c r="I160" s="24">
        <v>2.75</v>
      </c>
      <c r="J160" s="24">
        <f t="shared" si="12"/>
        <v>14.850000000000001</v>
      </c>
      <c r="K160" s="24" t="s">
        <v>475</v>
      </c>
      <c r="L160" s="25">
        <f t="shared" si="18"/>
        <v>14.850000000000001</v>
      </c>
    </row>
    <row r="161" spans="1:12">
      <c r="A161" s="27">
        <v>63</v>
      </c>
      <c r="B161" s="37">
        <v>200944811</v>
      </c>
      <c r="C161" s="53" t="s">
        <v>164</v>
      </c>
      <c r="D161" s="24">
        <v>3.53</v>
      </c>
      <c r="E161" s="24">
        <v>2.13</v>
      </c>
      <c r="F161" s="24">
        <v>2.48</v>
      </c>
      <c r="G161" s="24">
        <v>0</v>
      </c>
      <c r="H161" s="24">
        <v>0</v>
      </c>
      <c r="I161" s="24">
        <v>3.9</v>
      </c>
      <c r="J161" s="24">
        <f t="shared" si="12"/>
        <v>12.04</v>
      </c>
      <c r="K161" s="24" t="s">
        <v>475</v>
      </c>
      <c r="L161" s="25">
        <f t="shared" si="18"/>
        <v>12.04</v>
      </c>
    </row>
    <row r="162" spans="1:12">
      <c r="A162" s="27">
        <v>64</v>
      </c>
      <c r="B162" s="37">
        <v>200945123</v>
      </c>
      <c r="C162" s="53" t="s">
        <v>165</v>
      </c>
      <c r="D162" s="24">
        <v>5.96</v>
      </c>
      <c r="E162" s="24">
        <v>5.86</v>
      </c>
      <c r="F162" s="24">
        <v>3.69</v>
      </c>
      <c r="G162" s="24">
        <v>1.05</v>
      </c>
      <c r="H162" s="24">
        <v>0</v>
      </c>
      <c r="I162" s="24">
        <v>2.75</v>
      </c>
      <c r="J162" s="24">
        <f t="shared" si="12"/>
        <v>19.310000000000002</v>
      </c>
      <c r="K162" s="24" t="s">
        <v>475</v>
      </c>
      <c r="L162" s="25">
        <f t="shared" si="18"/>
        <v>19.310000000000002</v>
      </c>
    </row>
    <row r="163" spans="1:12">
      <c r="A163" s="27">
        <v>65</v>
      </c>
      <c r="B163" s="37">
        <v>200945126</v>
      </c>
      <c r="C163" s="53" t="s">
        <v>166</v>
      </c>
      <c r="D163" s="24">
        <v>3.3</v>
      </c>
      <c r="E163" s="24">
        <v>1.37</v>
      </c>
      <c r="F163" s="24">
        <v>0.68</v>
      </c>
      <c r="G163" s="24">
        <v>0</v>
      </c>
      <c r="H163" s="24">
        <v>0</v>
      </c>
      <c r="I163" s="24">
        <v>2.0499999999999998</v>
      </c>
      <c r="J163" s="24">
        <f t="shared" si="12"/>
        <v>7.3999999999999995</v>
      </c>
      <c r="K163" s="24" t="s">
        <v>475</v>
      </c>
      <c r="L163" s="25">
        <f t="shared" si="18"/>
        <v>7.3999999999999995</v>
      </c>
    </row>
    <row r="164" spans="1:12">
      <c r="A164" s="27">
        <v>66</v>
      </c>
      <c r="B164" s="57">
        <v>200980007</v>
      </c>
      <c r="C164" s="58" t="s">
        <v>167</v>
      </c>
      <c r="D164" s="24">
        <v>6.86</v>
      </c>
      <c r="E164" s="24">
        <v>8.34</v>
      </c>
      <c r="F164" s="24">
        <v>9.9</v>
      </c>
      <c r="G164" s="24">
        <v>11.1</v>
      </c>
      <c r="H164" s="24">
        <v>11.76</v>
      </c>
      <c r="I164" s="24">
        <v>4</v>
      </c>
      <c r="J164" s="24">
        <f t="shared" ref="J164" si="19">+I164+H164+G164+F164+E164+D164</f>
        <v>51.959999999999994</v>
      </c>
      <c r="K164" s="24">
        <v>6</v>
      </c>
      <c r="L164" s="25">
        <f t="shared" ref="L164" si="20">+K164+J164</f>
        <v>57.959999999999994</v>
      </c>
    </row>
    <row r="165" spans="1:12">
      <c r="A165" s="29"/>
      <c r="B165" s="29"/>
      <c r="C165" s="30"/>
      <c r="D165" s="31"/>
      <c r="E165" s="31"/>
      <c r="F165" s="31"/>
      <c r="G165" s="31"/>
      <c r="H165" s="31"/>
      <c r="I165" s="31"/>
      <c r="J165" s="31"/>
      <c r="K165" s="31"/>
      <c r="L165" s="32"/>
    </row>
    <row r="166" spans="1:12">
      <c r="A166" s="29"/>
      <c r="B166" s="29"/>
      <c r="C166" s="30"/>
      <c r="D166" s="31"/>
      <c r="E166" s="31"/>
      <c r="F166" s="31"/>
      <c r="G166" s="31"/>
      <c r="H166" s="31"/>
      <c r="I166" s="31"/>
      <c r="J166" s="31"/>
      <c r="K166" s="31"/>
      <c r="L166" s="32"/>
    </row>
    <row r="167" spans="1:12" ht="17.25" thickBot="1">
      <c r="A167" s="33"/>
      <c r="B167" s="33"/>
      <c r="C167" s="34"/>
      <c r="D167" s="31"/>
      <c r="E167" s="31"/>
      <c r="F167" s="31"/>
      <c r="G167" s="31"/>
      <c r="H167" s="35"/>
      <c r="I167" s="35"/>
      <c r="J167" s="35"/>
      <c r="K167" s="9"/>
      <c r="L167" s="32"/>
    </row>
    <row r="168" spans="1:12">
      <c r="H168" s="100" t="s">
        <v>101</v>
      </c>
      <c r="I168" s="100"/>
      <c r="J168" s="100"/>
      <c r="L168" s="1"/>
    </row>
    <row r="169" spans="1:12">
      <c r="D169" s="36"/>
      <c r="H169" s="100" t="s">
        <v>21</v>
      </c>
      <c r="I169" s="100"/>
      <c r="J169" s="100"/>
      <c r="L169" s="1"/>
    </row>
    <row r="170" spans="1:12">
      <c r="D170" s="36"/>
      <c r="H170" s="100" t="s">
        <v>97</v>
      </c>
      <c r="I170" s="100"/>
      <c r="J170" s="100"/>
      <c r="L170" s="1"/>
    </row>
    <row r="171" spans="1:12">
      <c r="D171" s="36"/>
      <c r="H171" s="75"/>
      <c r="I171" s="75"/>
      <c r="J171" s="75"/>
      <c r="L171" s="1"/>
    </row>
    <row r="173" spans="1:12" ht="17.25" thickBot="1">
      <c r="A173" s="1" t="s">
        <v>0</v>
      </c>
      <c r="I173" s="3"/>
    </row>
    <row r="174" spans="1:12">
      <c r="A174" s="1" t="s">
        <v>1</v>
      </c>
      <c r="F174" s="4"/>
      <c r="G174" s="5"/>
      <c r="H174" s="6"/>
      <c r="I174" s="7"/>
    </row>
    <row r="175" spans="1:12">
      <c r="A175" s="8" t="s">
        <v>2</v>
      </c>
      <c r="B175" s="9"/>
      <c r="E175" s="7"/>
      <c r="F175" s="10"/>
      <c r="G175" s="11"/>
      <c r="H175" s="12"/>
      <c r="I175" s="7"/>
    </row>
    <row r="176" spans="1:12" ht="17.25" thickBot="1">
      <c r="A176" s="13" t="s">
        <v>3</v>
      </c>
      <c r="B176" s="9"/>
      <c r="E176" s="7"/>
      <c r="F176" s="10"/>
      <c r="G176" s="11"/>
      <c r="H176" s="12"/>
      <c r="I176" s="7"/>
    </row>
    <row r="177" spans="1:12" ht="17.25" thickBot="1">
      <c r="A177" s="14" t="s">
        <v>22</v>
      </c>
      <c r="B177" s="15"/>
      <c r="C177" s="16"/>
      <c r="E177" s="7"/>
      <c r="F177" s="17"/>
      <c r="G177" s="18"/>
      <c r="H177" s="19"/>
      <c r="I177" s="7"/>
    </row>
    <row r="178" spans="1:12">
      <c r="A178" s="8"/>
      <c r="B178" s="9"/>
      <c r="E178" s="7"/>
      <c r="I178" s="3"/>
    </row>
    <row r="179" spans="1:12">
      <c r="A179" s="1" t="s">
        <v>91</v>
      </c>
      <c r="B179" s="9"/>
      <c r="C179" s="20" t="s">
        <v>168</v>
      </c>
      <c r="E179" s="7"/>
      <c r="I179" s="3"/>
    </row>
    <row r="180" spans="1:12">
      <c r="A180" s="1" t="s">
        <v>4</v>
      </c>
      <c r="C180" s="20" t="s">
        <v>98</v>
      </c>
      <c r="I180" s="3"/>
    </row>
    <row r="181" spans="1:12">
      <c r="A181" s="1" t="s">
        <v>5</v>
      </c>
      <c r="C181" s="20" t="s">
        <v>100</v>
      </c>
    </row>
    <row r="182" spans="1:12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2">
      <c r="A183" s="1"/>
      <c r="C183" s="22" t="s">
        <v>6</v>
      </c>
      <c r="D183" s="22" t="s">
        <v>93</v>
      </c>
      <c r="E183" s="22" t="s">
        <v>93</v>
      </c>
      <c r="F183" s="22" t="s">
        <v>93</v>
      </c>
      <c r="G183" s="22" t="s">
        <v>93</v>
      </c>
      <c r="H183" s="22" t="s">
        <v>93</v>
      </c>
      <c r="I183" s="22" t="s">
        <v>94</v>
      </c>
      <c r="J183" s="22" t="s">
        <v>8</v>
      </c>
      <c r="K183" s="22" t="s">
        <v>7</v>
      </c>
      <c r="L183" s="22" t="s">
        <v>9</v>
      </c>
    </row>
    <row r="184" spans="1:12">
      <c r="A184" s="22" t="s">
        <v>10</v>
      </c>
      <c r="B184" s="22" t="s">
        <v>11</v>
      </c>
      <c r="C184" s="22" t="s">
        <v>12</v>
      </c>
      <c r="D184" s="22" t="s">
        <v>13</v>
      </c>
      <c r="E184" s="22" t="s">
        <v>14</v>
      </c>
      <c r="F184" s="22" t="s">
        <v>15</v>
      </c>
      <c r="G184" s="22" t="s">
        <v>16</v>
      </c>
      <c r="H184" s="22" t="s">
        <v>17</v>
      </c>
      <c r="I184" s="22" t="s">
        <v>95</v>
      </c>
      <c r="J184" s="22" t="s">
        <v>18</v>
      </c>
      <c r="K184" s="22" t="s">
        <v>19</v>
      </c>
      <c r="L184" s="22" t="s">
        <v>20</v>
      </c>
    </row>
    <row r="185" spans="1:12">
      <c r="A185" s="23">
        <v>1</v>
      </c>
      <c r="B185" s="45">
        <v>200741809</v>
      </c>
      <c r="C185" s="56" t="s">
        <v>169</v>
      </c>
      <c r="D185" s="24">
        <v>11.21</v>
      </c>
      <c r="E185" s="24">
        <v>10.63</v>
      </c>
      <c r="F185" s="24">
        <v>8.3000000000000007</v>
      </c>
      <c r="G185" s="24">
        <v>11.33</v>
      </c>
      <c r="H185" s="24">
        <v>11.33</v>
      </c>
      <c r="I185" s="24">
        <v>4.25</v>
      </c>
      <c r="J185" s="24">
        <f>+I185+H185+G185+F185+E185+D185</f>
        <v>57.050000000000004</v>
      </c>
      <c r="K185" s="24">
        <v>7.4</v>
      </c>
      <c r="L185" s="25">
        <f>+K185+J185</f>
        <v>64.45</v>
      </c>
    </row>
    <row r="186" spans="1:12">
      <c r="A186" s="26">
        <v>2</v>
      </c>
      <c r="B186" s="45">
        <v>200742804</v>
      </c>
      <c r="C186" s="56" t="s">
        <v>170</v>
      </c>
      <c r="D186" s="24">
        <v>5.0999999999999996</v>
      </c>
      <c r="E186" s="24">
        <v>4.0999999999999996</v>
      </c>
      <c r="F186" s="24">
        <v>4.7</v>
      </c>
      <c r="G186" s="24">
        <v>1.88</v>
      </c>
      <c r="H186" s="24">
        <v>0</v>
      </c>
      <c r="I186" s="24">
        <v>0</v>
      </c>
      <c r="J186" s="24">
        <f t="shared" ref="J186:J248" si="21">+I186+H186+G186+F186+E186+D186</f>
        <v>15.78</v>
      </c>
      <c r="K186" s="24" t="s">
        <v>475</v>
      </c>
      <c r="L186" s="25">
        <f>+J186</f>
        <v>15.78</v>
      </c>
    </row>
    <row r="187" spans="1:12">
      <c r="A187" s="27">
        <v>3</v>
      </c>
      <c r="B187" s="45">
        <v>200780031</v>
      </c>
      <c r="C187" s="59" t="s">
        <v>171</v>
      </c>
      <c r="D187" s="24">
        <v>9.19</v>
      </c>
      <c r="E187" s="24">
        <v>6.29</v>
      </c>
      <c r="F187" s="24">
        <v>5.48</v>
      </c>
      <c r="G187" s="24">
        <v>8.7799999999999994</v>
      </c>
      <c r="H187" s="24">
        <v>10.130000000000001</v>
      </c>
      <c r="I187" s="24">
        <v>3</v>
      </c>
      <c r="J187" s="24">
        <f t="shared" si="21"/>
        <v>42.87</v>
      </c>
      <c r="K187" s="24">
        <v>4.2</v>
      </c>
      <c r="L187" s="25">
        <f t="shared" ref="L187:L224" si="22">+K187+J187</f>
        <v>47.07</v>
      </c>
    </row>
    <row r="188" spans="1:12">
      <c r="A188" s="26">
        <v>4</v>
      </c>
      <c r="B188" s="45">
        <v>200840112</v>
      </c>
      <c r="C188" s="56" t="s">
        <v>172</v>
      </c>
      <c r="D188" s="24">
        <v>10.91</v>
      </c>
      <c r="E188" s="24">
        <v>8.08</v>
      </c>
      <c r="F188" s="24">
        <v>11.24</v>
      </c>
      <c r="G188" s="24">
        <v>10.35</v>
      </c>
      <c r="H188" s="24">
        <v>9.3000000000000007</v>
      </c>
      <c r="I188" s="24">
        <v>1.25</v>
      </c>
      <c r="J188" s="24">
        <f t="shared" si="21"/>
        <v>51.129999999999995</v>
      </c>
      <c r="K188" s="24">
        <v>11.3</v>
      </c>
      <c r="L188" s="25">
        <f t="shared" si="22"/>
        <v>62.429999999999993</v>
      </c>
    </row>
    <row r="189" spans="1:12">
      <c r="A189" s="26">
        <v>5</v>
      </c>
      <c r="B189" s="57">
        <v>200840189</v>
      </c>
      <c r="C189" s="60" t="s">
        <v>173</v>
      </c>
      <c r="D189" s="24">
        <v>3.86</v>
      </c>
      <c r="E189" s="24">
        <v>2.2599999999999998</v>
      </c>
      <c r="F189" s="24">
        <v>2.25</v>
      </c>
      <c r="G189" s="24">
        <v>0</v>
      </c>
      <c r="H189" s="24">
        <v>0.6</v>
      </c>
      <c r="I189" s="24">
        <v>3</v>
      </c>
      <c r="J189" s="24">
        <f t="shared" si="21"/>
        <v>11.969999999999999</v>
      </c>
      <c r="K189" s="24" t="s">
        <v>475</v>
      </c>
      <c r="L189" s="25">
        <f>+J189</f>
        <v>11.969999999999999</v>
      </c>
    </row>
    <row r="190" spans="1:12">
      <c r="A190" s="26">
        <v>6</v>
      </c>
      <c r="B190" s="45">
        <v>200840192</v>
      </c>
      <c r="C190" s="56" t="s">
        <v>174</v>
      </c>
      <c r="D190" s="24">
        <v>9.3800000000000008</v>
      </c>
      <c r="E190" s="24">
        <v>9.2899999999999991</v>
      </c>
      <c r="F190" s="24">
        <v>9.0500000000000007</v>
      </c>
      <c r="G190" s="24">
        <v>9.5299999999999994</v>
      </c>
      <c r="H190" s="24">
        <v>8.84</v>
      </c>
      <c r="I190" s="24">
        <v>5</v>
      </c>
      <c r="J190" s="24">
        <f t="shared" si="21"/>
        <v>51.09</v>
      </c>
      <c r="K190" s="24">
        <v>4.7</v>
      </c>
      <c r="L190" s="25">
        <f t="shared" si="22"/>
        <v>55.790000000000006</v>
      </c>
    </row>
    <row r="191" spans="1:12">
      <c r="A191" s="26">
        <v>7</v>
      </c>
      <c r="B191" s="57">
        <v>200840193</v>
      </c>
      <c r="C191" s="56" t="s">
        <v>175</v>
      </c>
      <c r="D191" s="24">
        <v>7.8</v>
      </c>
      <c r="E191" s="24">
        <v>4.79</v>
      </c>
      <c r="F191" s="24">
        <v>5.17</v>
      </c>
      <c r="G191" s="24">
        <v>7.73</v>
      </c>
      <c r="H191" s="24">
        <v>9.48</v>
      </c>
      <c r="I191" s="24">
        <v>5</v>
      </c>
      <c r="J191" s="24">
        <f t="shared" si="21"/>
        <v>39.97</v>
      </c>
      <c r="K191" s="24" t="s">
        <v>475</v>
      </c>
      <c r="L191" s="25">
        <f>+J191</f>
        <v>39.97</v>
      </c>
    </row>
    <row r="192" spans="1:12">
      <c r="A192" s="26">
        <v>8</v>
      </c>
      <c r="B192" s="45">
        <v>200840202</v>
      </c>
      <c r="C192" s="59" t="s">
        <v>176</v>
      </c>
      <c r="D192" s="24">
        <v>10.35</v>
      </c>
      <c r="E192" s="24">
        <v>9.0399999999999991</v>
      </c>
      <c r="F192" s="24">
        <v>8.1199999999999992</v>
      </c>
      <c r="G192" s="24">
        <v>6.75</v>
      </c>
      <c r="H192" s="24">
        <v>6.9</v>
      </c>
      <c r="I192" s="24">
        <v>1.45</v>
      </c>
      <c r="J192" s="24">
        <f t="shared" si="21"/>
        <v>42.61</v>
      </c>
      <c r="K192" s="24">
        <v>6.8</v>
      </c>
      <c r="L192" s="25">
        <f t="shared" si="22"/>
        <v>49.41</v>
      </c>
    </row>
    <row r="193" spans="1:12">
      <c r="A193" s="26">
        <v>9</v>
      </c>
      <c r="B193" s="57">
        <v>200840209</v>
      </c>
      <c r="C193" s="60" t="s">
        <v>177</v>
      </c>
      <c r="D193" s="24">
        <v>11.74</v>
      </c>
      <c r="E193" s="24">
        <v>11.33</v>
      </c>
      <c r="F193" s="24">
        <v>11.63</v>
      </c>
      <c r="G193" s="24">
        <v>10.43</v>
      </c>
      <c r="H193" s="24">
        <v>10.75</v>
      </c>
      <c r="I193" s="24">
        <v>5</v>
      </c>
      <c r="J193" s="24">
        <f t="shared" si="21"/>
        <v>60.88</v>
      </c>
      <c r="K193" s="24">
        <v>10.6</v>
      </c>
      <c r="L193" s="25">
        <f t="shared" si="22"/>
        <v>71.48</v>
      </c>
    </row>
    <row r="194" spans="1:12">
      <c r="A194" s="26">
        <v>10</v>
      </c>
      <c r="B194" s="57">
        <v>200842040</v>
      </c>
      <c r="C194" s="60" t="s">
        <v>178</v>
      </c>
      <c r="D194" s="24">
        <v>11.25</v>
      </c>
      <c r="E194" s="24">
        <v>10.26</v>
      </c>
      <c r="F194" s="24">
        <v>11.01</v>
      </c>
      <c r="G194" s="24">
        <v>10.95</v>
      </c>
      <c r="H194" s="24">
        <v>13</v>
      </c>
      <c r="I194" s="24">
        <v>5</v>
      </c>
      <c r="J194" s="24">
        <f t="shared" si="21"/>
        <v>61.47</v>
      </c>
      <c r="K194" s="24">
        <v>6.6</v>
      </c>
      <c r="L194" s="25">
        <f t="shared" si="22"/>
        <v>68.069999999999993</v>
      </c>
    </row>
    <row r="195" spans="1:12">
      <c r="A195" s="26">
        <v>11</v>
      </c>
      <c r="B195" s="45">
        <v>200842064</v>
      </c>
      <c r="C195" s="56" t="s">
        <v>179</v>
      </c>
      <c r="D195" s="24">
        <v>3.19</v>
      </c>
      <c r="E195" s="24">
        <v>0.73</v>
      </c>
      <c r="F195" s="24">
        <v>0.9</v>
      </c>
      <c r="G195" s="24">
        <v>0</v>
      </c>
      <c r="H195" s="28">
        <v>0</v>
      </c>
      <c r="I195" s="28">
        <v>2</v>
      </c>
      <c r="J195" s="24">
        <f t="shared" si="21"/>
        <v>6.82</v>
      </c>
      <c r="K195" s="24" t="s">
        <v>475</v>
      </c>
      <c r="L195" s="25">
        <f>+J195</f>
        <v>6.82</v>
      </c>
    </row>
    <row r="196" spans="1:12">
      <c r="A196" s="26">
        <v>12</v>
      </c>
      <c r="B196" s="45">
        <v>200842096</v>
      </c>
      <c r="C196" s="56" t="s">
        <v>180</v>
      </c>
      <c r="D196" s="24">
        <v>4.09</v>
      </c>
      <c r="E196" s="24">
        <v>2.37</v>
      </c>
      <c r="F196" s="24">
        <v>2.81</v>
      </c>
      <c r="G196" s="24">
        <v>2.48</v>
      </c>
      <c r="H196" s="28">
        <v>0</v>
      </c>
      <c r="I196" s="28">
        <v>5</v>
      </c>
      <c r="J196" s="24">
        <f t="shared" si="21"/>
        <v>16.75</v>
      </c>
      <c r="K196" s="24" t="s">
        <v>475</v>
      </c>
      <c r="L196" s="25">
        <f>+J196</f>
        <v>16.75</v>
      </c>
    </row>
    <row r="197" spans="1:12">
      <c r="A197" s="26">
        <v>13</v>
      </c>
      <c r="B197" s="45">
        <v>200842099</v>
      </c>
      <c r="C197" s="56" t="s">
        <v>181</v>
      </c>
      <c r="D197" s="24">
        <v>6.9</v>
      </c>
      <c r="E197" s="24">
        <v>7.13</v>
      </c>
      <c r="F197" s="24">
        <v>11.88</v>
      </c>
      <c r="G197" s="24">
        <v>10.73</v>
      </c>
      <c r="H197" s="28">
        <v>10.15</v>
      </c>
      <c r="I197" s="28">
        <v>4.6500000000000004</v>
      </c>
      <c r="J197" s="24">
        <f t="shared" si="21"/>
        <v>51.440000000000005</v>
      </c>
      <c r="K197" s="24">
        <v>10.4</v>
      </c>
      <c r="L197" s="25">
        <f t="shared" si="22"/>
        <v>61.84</v>
      </c>
    </row>
    <row r="198" spans="1:12">
      <c r="A198" s="23">
        <v>14</v>
      </c>
      <c r="B198" s="45">
        <v>200842112</v>
      </c>
      <c r="C198" s="56" t="s">
        <v>182</v>
      </c>
      <c r="D198" s="79">
        <v>10.42</v>
      </c>
      <c r="E198" s="79">
        <v>7.15</v>
      </c>
      <c r="F198" s="79">
        <f>G198</f>
        <v>10.95</v>
      </c>
      <c r="G198" s="79">
        <v>10.95</v>
      </c>
      <c r="H198" s="79">
        <v>12.75</v>
      </c>
      <c r="I198" s="79">
        <v>2.8</v>
      </c>
      <c r="J198" s="79">
        <f t="shared" si="21"/>
        <v>55.02</v>
      </c>
      <c r="K198" s="79">
        <v>10.7</v>
      </c>
      <c r="L198" s="80">
        <f t="shared" si="22"/>
        <v>65.72</v>
      </c>
    </row>
    <row r="199" spans="1:12">
      <c r="A199" s="23">
        <v>15</v>
      </c>
      <c r="B199" s="45">
        <v>200842121</v>
      </c>
      <c r="C199" s="59" t="s">
        <v>183</v>
      </c>
      <c r="D199" s="24">
        <v>6.23</v>
      </c>
      <c r="E199" s="24">
        <v>2.11</v>
      </c>
      <c r="F199" s="24">
        <v>2.7</v>
      </c>
      <c r="G199" s="24">
        <v>0</v>
      </c>
      <c r="H199" s="24">
        <v>0</v>
      </c>
      <c r="I199" s="24">
        <v>2.85</v>
      </c>
      <c r="J199" s="24">
        <f t="shared" si="21"/>
        <v>13.89</v>
      </c>
      <c r="K199" s="24" t="s">
        <v>475</v>
      </c>
      <c r="L199" s="25">
        <f>+J199</f>
        <v>13.89</v>
      </c>
    </row>
    <row r="200" spans="1:12">
      <c r="A200" s="23">
        <v>16</v>
      </c>
      <c r="B200" s="45">
        <v>200842378</v>
      </c>
      <c r="C200" s="56" t="s">
        <v>184</v>
      </c>
      <c r="D200" s="24">
        <v>4.05</v>
      </c>
      <c r="E200" s="24">
        <v>1.28</v>
      </c>
      <c r="F200" s="24">
        <v>2.7</v>
      </c>
      <c r="G200" s="24">
        <v>0.43</v>
      </c>
      <c r="H200" s="24">
        <v>0</v>
      </c>
      <c r="I200" s="24">
        <v>2.75</v>
      </c>
      <c r="J200" s="24">
        <f t="shared" si="21"/>
        <v>11.21</v>
      </c>
      <c r="K200" s="24" t="s">
        <v>475</v>
      </c>
      <c r="L200" s="25">
        <f>+J200</f>
        <v>11.21</v>
      </c>
    </row>
    <row r="201" spans="1:12">
      <c r="A201" s="23">
        <v>17</v>
      </c>
      <c r="B201" s="45">
        <v>200842411</v>
      </c>
      <c r="C201" s="56" t="s">
        <v>185</v>
      </c>
      <c r="D201" s="24">
        <v>8.85</v>
      </c>
      <c r="E201" s="24">
        <v>8.06</v>
      </c>
      <c r="F201" s="24">
        <v>9.3000000000000007</v>
      </c>
      <c r="G201" s="24">
        <v>9.5299999999999994</v>
      </c>
      <c r="H201" s="24">
        <v>10.82</v>
      </c>
      <c r="I201" s="24">
        <v>5</v>
      </c>
      <c r="J201" s="24">
        <f t="shared" si="21"/>
        <v>51.560000000000009</v>
      </c>
      <c r="K201" s="24">
        <v>6</v>
      </c>
      <c r="L201" s="25">
        <f t="shared" si="22"/>
        <v>57.560000000000009</v>
      </c>
    </row>
    <row r="202" spans="1:12">
      <c r="A202" s="27">
        <v>18</v>
      </c>
      <c r="B202" s="45">
        <v>200842436</v>
      </c>
      <c r="C202" s="56" t="s">
        <v>186</v>
      </c>
      <c r="D202" s="24">
        <v>9.15</v>
      </c>
      <c r="E202" s="24">
        <v>3.83</v>
      </c>
      <c r="F202" s="24">
        <v>4.5599999999999996</v>
      </c>
      <c r="G202" s="24">
        <v>3.83</v>
      </c>
      <c r="H202" s="24">
        <v>2.93</v>
      </c>
      <c r="I202" s="24">
        <v>5</v>
      </c>
      <c r="J202" s="24">
        <f t="shared" si="21"/>
        <v>29.299999999999997</v>
      </c>
      <c r="K202" s="24" t="s">
        <v>475</v>
      </c>
      <c r="L202" s="25">
        <f>+J202</f>
        <v>29.299999999999997</v>
      </c>
    </row>
    <row r="203" spans="1:12">
      <c r="A203" s="27">
        <v>19</v>
      </c>
      <c r="B203" s="37">
        <v>200842450</v>
      </c>
      <c r="C203" s="51" t="s">
        <v>187</v>
      </c>
      <c r="D203" s="24">
        <v>9.3000000000000007</v>
      </c>
      <c r="E203" s="24">
        <v>9.15</v>
      </c>
      <c r="F203" s="24">
        <v>9.08</v>
      </c>
      <c r="G203" s="24">
        <v>8.48</v>
      </c>
      <c r="H203" s="24">
        <v>9.42</v>
      </c>
      <c r="I203" s="24">
        <v>4.5</v>
      </c>
      <c r="J203" s="24">
        <f t="shared" si="21"/>
        <v>49.929999999999993</v>
      </c>
      <c r="K203" s="24">
        <v>11.9</v>
      </c>
      <c r="L203" s="25">
        <f t="shared" si="22"/>
        <v>61.829999999999991</v>
      </c>
    </row>
    <row r="204" spans="1:12">
      <c r="A204" s="27">
        <v>20</v>
      </c>
      <c r="B204" s="57">
        <v>200843337</v>
      </c>
      <c r="C204" s="56" t="s">
        <v>188</v>
      </c>
      <c r="D204" s="24">
        <v>3.3</v>
      </c>
      <c r="E204" s="24">
        <v>2.33</v>
      </c>
      <c r="F204" s="24">
        <v>0</v>
      </c>
      <c r="G204" s="24">
        <v>0</v>
      </c>
      <c r="H204" s="24">
        <v>0</v>
      </c>
      <c r="I204" s="24">
        <v>2</v>
      </c>
      <c r="J204" s="24">
        <f t="shared" si="21"/>
        <v>7.63</v>
      </c>
      <c r="K204" s="24" t="s">
        <v>475</v>
      </c>
      <c r="L204" s="25">
        <f>+J204</f>
        <v>7.63</v>
      </c>
    </row>
    <row r="205" spans="1:12">
      <c r="A205" s="27">
        <v>21</v>
      </c>
      <c r="B205" s="45">
        <v>200843789</v>
      </c>
      <c r="C205" s="56" t="s">
        <v>189</v>
      </c>
      <c r="D205" s="24">
        <v>10.46</v>
      </c>
      <c r="E205" s="24">
        <v>1.33</v>
      </c>
      <c r="F205" s="24">
        <v>5.85</v>
      </c>
      <c r="G205" s="24">
        <v>5.0999999999999996</v>
      </c>
      <c r="H205" s="24">
        <v>4.3600000000000003</v>
      </c>
      <c r="I205" s="24">
        <v>4.5999999999999996</v>
      </c>
      <c r="J205" s="24">
        <f t="shared" si="21"/>
        <v>31.700000000000003</v>
      </c>
      <c r="K205" s="24" t="s">
        <v>475</v>
      </c>
      <c r="L205" s="25">
        <f t="shared" ref="L205:L216" si="23">+J205</f>
        <v>31.700000000000003</v>
      </c>
    </row>
    <row r="206" spans="1:12">
      <c r="A206" s="27">
        <v>22</v>
      </c>
      <c r="B206" s="45">
        <v>200880002</v>
      </c>
      <c r="C206" s="56" t="s">
        <v>190</v>
      </c>
      <c r="D206" s="24">
        <v>7.43</v>
      </c>
      <c r="E206" s="24">
        <v>4.96</v>
      </c>
      <c r="F206" s="24">
        <v>6.9</v>
      </c>
      <c r="G206" s="24">
        <v>3.53</v>
      </c>
      <c r="H206" s="24">
        <v>0</v>
      </c>
      <c r="I206" s="24">
        <v>5</v>
      </c>
      <c r="J206" s="24">
        <f t="shared" si="21"/>
        <v>27.82</v>
      </c>
      <c r="K206" s="24" t="s">
        <v>475</v>
      </c>
      <c r="L206" s="25">
        <f t="shared" si="23"/>
        <v>27.82</v>
      </c>
    </row>
    <row r="207" spans="1:12">
      <c r="A207" s="27">
        <v>23</v>
      </c>
      <c r="B207" s="45">
        <v>200940337</v>
      </c>
      <c r="C207" s="56" t="s">
        <v>191</v>
      </c>
      <c r="D207" s="24">
        <v>4.83</v>
      </c>
      <c r="E207" s="24">
        <v>3.44</v>
      </c>
      <c r="F207" s="24">
        <v>2.36</v>
      </c>
      <c r="G207" s="24">
        <v>0</v>
      </c>
      <c r="H207" s="24">
        <v>0</v>
      </c>
      <c r="I207" s="24">
        <v>4.4000000000000004</v>
      </c>
      <c r="J207" s="24">
        <f t="shared" si="21"/>
        <v>15.03</v>
      </c>
      <c r="K207" s="24" t="s">
        <v>475</v>
      </c>
      <c r="L207" s="25">
        <f t="shared" si="23"/>
        <v>15.03</v>
      </c>
    </row>
    <row r="208" spans="1:12">
      <c r="A208" s="27">
        <v>24</v>
      </c>
      <c r="B208" s="57">
        <v>200940341</v>
      </c>
      <c r="C208" s="60" t="s">
        <v>192</v>
      </c>
      <c r="D208" s="24">
        <v>6.9</v>
      </c>
      <c r="E208" s="24">
        <v>4.42</v>
      </c>
      <c r="F208" s="24">
        <v>6.51</v>
      </c>
      <c r="G208" s="24">
        <v>1.95</v>
      </c>
      <c r="H208" s="24">
        <v>0</v>
      </c>
      <c r="I208" s="24">
        <v>4.4000000000000004</v>
      </c>
      <c r="J208" s="24">
        <f t="shared" si="21"/>
        <v>24.18</v>
      </c>
      <c r="K208" s="24" t="s">
        <v>475</v>
      </c>
      <c r="L208" s="25">
        <f t="shared" si="23"/>
        <v>24.18</v>
      </c>
    </row>
    <row r="209" spans="1:12">
      <c r="A209" s="27">
        <v>25</v>
      </c>
      <c r="B209" s="45">
        <v>200940351</v>
      </c>
      <c r="C209" s="56" t="s">
        <v>193</v>
      </c>
      <c r="D209" s="24">
        <v>2.7</v>
      </c>
      <c r="E209" s="24">
        <v>1.31</v>
      </c>
      <c r="F209" s="24">
        <v>2.48</v>
      </c>
      <c r="G209" s="24">
        <v>0</v>
      </c>
      <c r="H209" s="24">
        <v>0</v>
      </c>
      <c r="I209" s="24">
        <v>2</v>
      </c>
      <c r="J209" s="24">
        <f t="shared" si="21"/>
        <v>8.490000000000002</v>
      </c>
      <c r="K209" s="24" t="s">
        <v>475</v>
      </c>
      <c r="L209" s="25">
        <f t="shared" si="23"/>
        <v>8.490000000000002</v>
      </c>
    </row>
    <row r="210" spans="1:12">
      <c r="A210" s="27">
        <v>26</v>
      </c>
      <c r="B210" s="45">
        <v>200940362</v>
      </c>
      <c r="C210" s="58" t="s">
        <v>194</v>
      </c>
      <c r="D210" s="24">
        <v>2.25</v>
      </c>
      <c r="E210" s="24">
        <v>1.21</v>
      </c>
      <c r="F210" s="24">
        <v>0.23</v>
      </c>
      <c r="G210" s="24">
        <v>0</v>
      </c>
      <c r="H210" s="24">
        <v>0.45</v>
      </c>
      <c r="I210" s="24">
        <v>2.2999999999999998</v>
      </c>
      <c r="J210" s="24">
        <f t="shared" si="21"/>
        <v>6.4399999999999995</v>
      </c>
      <c r="K210" s="24" t="s">
        <v>475</v>
      </c>
      <c r="L210" s="25">
        <f t="shared" si="23"/>
        <v>6.4399999999999995</v>
      </c>
    </row>
    <row r="211" spans="1:12">
      <c r="A211" s="27">
        <v>27</v>
      </c>
      <c r="B211" s="45">
        <v>200940369</v>
      </c>
      <c r="C211" s="56" t="s">
        <v>195</v>
      </c>
      <c r="D211" s="24">
        <v>4.6500000000000004</v>
      </c>
      <c r="E211" s="24">
        <v>5.33</v>
      </c>
      <c r="F211" s="24">
        <v>0</v>
      </c>
      <c r="G211" s="24">
        <v>0</v>
      </c>
      <c r="H211" s="24">
        <v>0</v>
      </c>
      <c r="I211" s="24">
        <v>1</v>
      </c>
      <c r="J211" s="24">
        <f t="shared" si="21"/>
        <v>10.98</v>
      </c>
      <c r="K211" s="24" t="s">
        <v>475</v>
      </c>
      <c r="L211" s="25">
        <f t="shared" si="23"/>
        <v>10.98</v>
      </c>
    </row>
    <row r="212" spans="1:12">
      <c r="A212" s="27">
        <v>28</v>
      </c>
      <c r="B212" s="45">
        <v>200940429</v>
      </c>
      <c r="C212" s="56" t="s">
        <v>196</v>
      </c>
      <c r="D212" s="24">
        <v>2.4</v>
      </c>
      <c r="E212" s="24">
        <v>1.31</v>
      </c>
      <c r="F212" s="24">
        <v>1.35</v>
      </c>
      <c r="G212" s="24">
        <v>0</v>
      </c>
      <c r="H212" s="24">
        <v>0</v>
      </c>
      <c r="I212" s="24">
        <v>2.5</v>
      </c>
      <c r="J212" s="24">
        <f t="shared" si="21"/>
        <v>7.5600000000000005</v>
      </c>
      <c r="K212" s="24" t="s">
        <v>475</v>
      </c>
      <c r="L212" s="25">
        <f t="shared" si="23"/>
        <v>7.5600000000000005</v>
      </c>
    </row>
    <row r="213" spans="1:12">
      <c r="A213" s="27">
        <v>29</v>
      </c>
      <c r="B213" s="57">
        <v>200940430</v>
      </c>
      <c r="C213" s="60" t="s">
        <v>197</v>
      </c>
      <c r="D213" s="24">
        <v>3.64</v>
      </c>
      <c r="E213" s="24">
        <v>4.68</v>
      </c>
      <c r="F213" s="24">
        <v>4.83</v>
      </c>
      <c r="G213" s="24">
        <v>0.83</v>
      </c>
      <c r="H213" s="24">
        <v>0</v>
      </c>
      <c r="I213" s="24">
        <v>5</v>
      </c>
      <c r="J213" s="24">
        <f t="shared" si="21"/>
        <v>18.98</v>
      </c>
      <c r="K213" s="24" t="s">
        <v>475</v>
      </c>
      <c r="L213" s="25">
        <f t="shared" si="23"/>
        <v>18.98</v>
      </c>
    </row>
    <row r="214" spans="1:12">
      <c r="A214" s="27">
        <v>30</v>
      </c>
      <c r="B214" s="45">
        <v>200940506</v>
      </c>
      <c r="C214" s="56" t="s">
        <v>198</v>
      </c>
      <c r="D214" s="24">
        <v>5.18</v>
      </c>
      <c r="E214" s="24">
        <v>2.92</v>
      </c>
      <c r="F214" s="24">
        <v>3.48</v>
      </c>
      <c r="G214" s="24">
        <v>0.45</v>
      </c>
      <c r="H214" s="24">
        <v>0</v>
      </c>
      <c r="I214" s="24">
        <v>3.1</v>
      </c>
      <c r="J214" s="24">
        <f t="shared" si="21"/>
        <v>15.129999999999999</v>
      </c>
      <c r="K214" s="24" t="s">
        <v>475</v>
      </c>
      <c r="L214" s="25">
        <f t="shared" si="23"/>
        <v>15.129999999999999</v>
      </c>
    </row>
    <row r="215" spans="1:12">
      <c r="A215" s="27">
        <v>31</v>
      </c>
      <c r="B215" s="57">
        <v>200940516</v>
      </c>
      <c r="C215" s="58" t="s">
        <v>199</v>
      </c>
      <c r="D215" s="24">
        <v>4.3499999999999996</v>
      </c>
      <c r="E215" s="24">
        <v>4.1900000000000004</v>
      </c>
      <c r="F215" s="24">
        <v>3.36</v>
      </c>
      <c r="G215" s="24">
        <v>1.2</v>
      </c>
      <c r="H215" s="24">
        <v>0</v>
      </c>
      <c r="I215" s="24">
        <v>5</v>
      </c>
      <c r="J215" s="24">
        <f t="shared" si="21"/>
        <v>18.100000000000001</v>
      </c>
      <c r="K215" s="24" t="s">
        <v>475</v>
      </c>
      <c r="L215" s="25">
        <f t="shared" si="23"/>
        <v>18.100000000000001</v>
      </c>
    </row>
    <row r="216" spans="1:12">
      <c r="A216" s="27">
        <v>32</v>
      </c>
      <c r="B216" s="45">
        <v>200940519</v>
      </c>
      <c r="C216" s="56" t="s">
        <v>200</v>
      </c>
      <c r="D216" s="24">
        <v>2.85</v>
      </c>
      <c r="E216" s="24">
        <v>0.94</v>
      </c>
      <c r="F216" s="24">
        <v>2.81</v>
      </c>
      <c r="G216" s="24">
        <v>1.1299999999999999</v>
      </c>
      <c r="H216" s="24">
        <v>0</v>
      </c>
      <c r="I216" s="24">
        <v>4</v>
      </c>
      <c r="J216" s="24">
        <f t="shared" si="21"/>
        <v>11.729999999999999</v>
      </c>
      <c r="K216" s="24" t="s">
        <v>475</v>
      </c>
      <c r="L216" s="25">
        <f t="shared" si="23"/>
        <v>11.729999999999999</v>
      </c>
    </row>
    <row r="217" spans="1:12">
      <c r="A217" s="27">
        <v>33</v>
      </c>
      <c r="B217" s="45">
        <v>200940521</v>
      </c>
      <c r="C217" s="56" t="s">
        <v>201</v>
      </c>
      <c r="D217" s="24">
        <v>6.3</v>
      </c>
      <c r="E217" s="24">
        <v>6.29</v>
      </c>
      <c r="F217" s="24">
        <v>6.99</v>
      </c>
      <c r="G217" s="24">
        <v>9.23</v>
      </c>
      <c r="H217" s="24">
        <v>11.41</v>
      </c>
      <c r="I217" s="24">
        <v>4.25</v>
      </c>
      <c r="J217" s="24">
        <f t="shared" si="21"/>
        <v>44.47</v>
      </c>
      <c r="K217" s="24">
        <v>6.7</v>
      </c>
      <c r="L217" s="25">
        <f t="shared" si="22"/>
        <v>51.17</v>
      </c>
    </row>
    <row r="218" spans="1:12">
      <c r="A218" s="27">
        <v>34</v>
      </c>
      <c r="B218" s="57">
        <v>200940523</v>
      </c>
      <c r="C218" s="60" t="s">
        <v>202</v>
      </c>
      <c r="D218" s="24">
        <v>2.85</v>
      </c>
      <c r="E218" s="24">
        <v>0.94</v>
      </c>
      <c r="F218" s="24">
        <v>2.46</v>
      </c>
      <c r="G218" s="24">
        <v>0</v>
      </c>
      <c r="H218" s="24">
        <v>0</v>
      </c>
      <c r="I218" s="24">
        <v>5</v>
      </c>
      <c r="J218" s="24">
        <f t="shared" si="21"/>
        <v>11.25</v>
      </c>
      <c r="K218" s="24" t="s">
        <v>475</v>
      </c>
      <c r="L218" s="25">
        <f>+J218</f>
        <v>11.25</v>
      </c>
    </row>
    <row r="219" spans="1:12">
      <c r="A219" s="27">
        <v>35</v>
      </c>
      <c r="B219" s="45">
        <v>200940739</v>
      </c>
      <c r="C219" s="56" t="s">
        <v>203</v>
      </c>
      <c r="D219" s="24">
        <v>4.5</v>
      </c>
      <c r="E219" s="24">
        <v>1.71</v>
      </c>
      <c r="F219" s="24">
        <v>2.7</v>
      </c>
      <c r="G219" s="24">
        <v>0.23</v>
      </c>
      <c r="H219" s="24">
        <v>0</v>
      </c>
      <c r="I219" s="24">
        <v>5</v>
      </c>
      <c r="J219" s="24">
        <f t="shared" si="21"/>
        <v>14.14</v>
      </c>
      <c r="K219" s="24" t="s">
        <v>475</v>
      </c>
      <c r="L219" s="25">
        <f t="shared" ref="L219:L222" si="24">+J219</f>
        <v>14.14</v>
      </c>
    </row>
    <row r="220" spans="1:12">
      <c r="A220" s="27">
        <v>36</v>
      </c>
      <c r="B220" s="45">
        <v>200941008</v>
      </c>
      <c r="C220" s="59" t="s">
        <v>204</v>
      </c>
      <c r="D220" s="24">
        <v>3.15</v>
      </c>
      <c r="E220" s="24">
        <v>1.97</v>
      </c>
      <c r="F220" s="24">
        <v>1.8</v>
      </c>
      <c r="G220" s="24">
        <v>0</v>
      </c>
      <c r="H220" s="24">
        <v>0</v>
      </c>
      <c r="I220" s="24">
        <v>3</v>
      </c>
      <c r="J220" s="24">
        <f t="shared" si="21"/>
        <v>9.92</v>
      </c>
      <c r="K220" s="24" t="s">
        <v>475</v>
      </c>
      <c r="L220" s="25">
        <f t="shared" si="24"/>
        <v>9.92</v>
      </c>
    </row>
    <row r="221" spans="1:12">
      <c r="A221" s="27">
        <v>37</v>
      </c>
      <c r="B221" s="45">
        <v>200941435</v>
      </c>
      <c r="C221" s="59" t="s">
        <v>205</v>
      </c>
      <c r="D221" s="24">
        <v>2.25</v>
      </c>
      <c r="E221" s="24">
        <v>0</v>
      </c>
      <c r="F221" s="24">
        <v>0</v>
      </c>
      <c r="G221" s="24">
        <v>0</v>
      </c>
      <c r="H221" s="24">
        <v>0</v>
      </c>
      <c r="I221" s="24">
        <v>2.6</v>
      </c>
      <c r="J221" s="24">
        <f t="shared" si="21"/>
        <v>4.8499999999999996</v>
      </c>
      <c r="K221" s="24" t="s">
        <v>475</v>
      </c>
      <c r="L221" s="25">
        <f t="shared" si="24"/>
        <v>4.8499999999999996</v>
      </c>
    </row>
    <row r="222" spans="1:12">
      <c r="A222" s="27">
        <v>38</v>
      </c>
      <c r="B222" s="45">
        <v>200941436</v>
      </c>
      <c r="C222" s="56" t="s">
        <v>206</v>
      </c>
      <c r="D222" s="24">
        <v>2.85</v>
      </c>
      <c r="E222" s="24">
        <v>1.95</v>
      </c>
      <c r="F222" s="24">
        <v>3.48</v>
      </c>
      <c r="G222" s="24">
        <v>1.43</v>
      </c>
      <c r="H222" s="24">
        <v>0</v>
      </c>
      <c r="I222" s="24">
        <v>4.0999999999999996</v>
      </c>
      <c r="J222" s="24">
        <f t="shared" si="21"/>
        <v>13.809999999999999</v>
      </c>
      <c r="K222" s="24" t="s">
        <v>475</v>
      </c>
      <c r="L222" s="25">
        <f t="shared" si="24"/>
        <v>13.809999999999999</v>
      </c>
    </row>
    <row r="223" spans="1:12">
      <c r="A223" s="27">
        <v>39</v>
      </c>
      <c r="B223" s="57">
        <v>200941438</v>
      </c>
      <c r="C223" s="60" t="s">
        <v>207</v>
      </c>
      <c r="D223" s="24">
        <v>7.8</v>
      </c>
      <c r="E223" s="24">
        <v>5.2</v>
      </c>
      <c r="F223" s="24">
        <v>8.69</v>
      </c>
      <c r="G223" s="24">
        <v>8.6300000000000008</v>
      </c>
      <c r="H223" s="24">
        <v>12.4</v>
      </c>
      <c r="I223" s="24">
        <v>4.0999999999999996</v>
      </c>
      <c r="J223" s="24">
        <f t="shared" si="21"/>
        <v>46.82</v>
      </c>
      <c r="K223" s="24">
        <v>4.9000000000000004</v>
      </c>
      <c r="L223" s="25">
        <f t="shared" si="22"/>
        <v>51.72</v>
      </c>
    </row>
    <row r="224" spans="1:12">
      <c r="A224" s="27">
        <v>40</v>
      </c>
      <c r="B224" s="45">
        <v>200941680</v>
      </c>
      <c r="C224" s="60" t="s">
        <v>208</v>
      </c>
      <c r="D224" s="24">
        <v>7.73</v>
      </c>
      <c r="E224" s="24">
        <v>6.92</v>
      </c>
      <c r="F224" s="24">
        <v>8.7899999999999991</v>
      </c>
      <c r="G224" s="24">
        <v>7.95</v>
      </c>
      <c r="H224" s="24">
        <v>13.21</v>
      </c>
      <c r="I224" s="24">
        <v>4.5</v>
      </c>
      <c r="J224" s="24">
        <f t="shared" si="21"/>
        <v>49.100000000000009</v>
      </c>
      <c r="K224" s="24">
        <v>9</v>
      </c>
      <c r="L224" s="25">
        <f t="shared" si="22"/>
        <v>58.100000000000009</v>
      </c>
    </row>
    <row r="225" spans="1:12">
      <c r="A225" s="27">
        <v>41</v>
      </c>
      <c r="B225" s="45">
        <v>200941794</v>
      </c>
      <c r="C225" s="56" t="s">
        <v>209</v>
      </c>
      <c r="D225" s="24">
        <v>6.94</v>
      </c>
      <c r="E225" s="24">
        <v>4.62</v>
      </c>
      <c r="F225" s="24">
        <v>5.71</v>
      </c>
      <c r="G225" s="24">
        <v>8.5500000000000007</v>
      </c>
      <c r="H225" s="24">
        <v>3.78</v>
      </c>
      <c r="I225" s="24">
        <v>4.6500000000000004</v>
      </c>
      <c r="J225" s="24">
        <f t="shared" si="21"/>
        <v>34.25</v>
      </c>
      <c r="K225" s="24" t="s">
        <v>475</v>
      </c>
      <c r="L225" s="25">
        <f>+J225</f>
        <v>34.25</v>
      </c>
    </row>
    <row r="226" spans="1:12">
      <c r="A226" s="27">
        <v>42</v>
      </c>
      <c r="B226" s="45">
        <v>200941891</v>
      </c>
      <c r="C226" s="60" t="s">
        <v>210</v>
      </c>
      <c r="D226" s="24">
        <v>5.48</v>
      </c>
      <c r="E226" s="24">
        <v>2.29</v>
      </c>
      <c r="F226" s="24">
        <v>4.2300000000000004</v>
      </c>
      <c r="G226" s="24">
        <v>1.43</v>
      </c>
      <c r="H226" s="24">
        <v>0</v>
      </c>
      <c r="I226" s="24">
        <v>4.4000000000000004</v>
      </c>
      <c r="J226" s="24">
        <f t="shared" si="21"/>
        <v>17.830000000000002</v>
      </c>
      <c r="K226" s="24" t="s">
        <v>475</v>
      </c>
      <c r="L226" s="25">
        <f t="shared" ref="L226:L248" si="25">+J226</f>
        <v>17.830000000000002</v>
      </c>
    </row>
    <row r="227" spans="1:12">
      <c r="A227" s="27">
        <v>43</v>
      </c>
      <c r="B227" s="45">
        <v>200941910</v>
      </c>
      <c r="C227" s="56" t="s">
        <v>211</v>
      </c>
      <c r="D227" s="24">
        <v>3</v>
      </c>
      <c r="E227" s="24">
        <v>2.15</v>
      </c>
      <c r="F227" s="24">
        <v>2.7</v>
      </c>
      <c r="G227" s="24">
        <v>0.75</v>
      </c>
      <c r="H227" s="24">
        <v>0</v>
      </c>
      <c r="I227" s="24">
        <v>4.5</v>
      </c>
      <c r="J227" s="24">
        <f t="shared" si="21"/>
        <v>13.1</v>
      </c>
      <c r="K227" s="24" t="s">
        <v>475</v>
      </c>
      <c r="L227" s="25">
        <f t="shared" si="25"/>
        <v>13.1</v>
      </c>
    </row>
    <row r="228" spans="1:12">
      <c r="A228" s="27">
        <v>44</v>
      </c>
      <c r="B228" s="45">
        <v>200942019</v>
      </c>
      <c r="C228" s="56" t="s">
        <v>212</v>
      </c>
      <c r="D228" s="24">
        <v>3.38</v>
      </c>
      <c r="E228" s="24">
        <v>2.58</v>
      </c>
      <c r="F228" s="24">
        <v>2.48</v>
      </c>
      <c r="G228" s="24">
        <v>0.6</v>
      </c>
      <c r="H228" s="24">
        <v>0</v>
      </c>
      <c r="I228" s="24">
        <v>4.5</v>
      </c>
      <c r="J228" s="24">
        <f t="shared" si="21"/>
        <v>13.54</v>
      </c>
      <c r="K228" s="24" t="s">
        <v>475</v>
      </c>
      <c r="L228" s="25">
        <f t="shared" si="25"/>
        <v>13.54</v>
      </c>
    </row>
    <row r="229" spans="1:12">
      <c r="A229" s="27">
        <v>45</v>
      </c>
      <c r="B229" s="45">
        <v>200942151</v>
      </c>
      <c r="C229" s="56" t="s">
        <v>213</v>
      </c>
      <c r="D229" s="24">
        <v>4.95</v>
      </c>
      <c r="E229" s="24">
        <v>1.29</v>
      </c>
      <c r="F229" s="24">
        <v>0</v>
      </c>
      <c r="G229" s="24">
        <v>0.53</v>
      </c>
      <c r="H229" s="24">
        <v>0</v>
      </c>
      <c r="I229" s="24">
        <v>2.2000000000000002</v>
      </c>
      <c r="J229" s="24">
        <f t="shared" si="21"/>
        <v>8.9700000000000006</v>
      </c>
      <c r="K229" s="24" t="s">
        <v>475</v>
      </c>
      <c r="L229" s="25">
        <f t="shared" si="25"/>
        <v>8.9700000000000006</v>
      </c>
    </row>
    <row r="230" spans="1:12">
      <c r="A230" s="27">
        <v>46</v>
      </c>
      <c r="B230" s="45">
        <v>200942666</v>
      </c>
      <c r="C230" s="56" t="s">
        <v>214</v>
      </c>
      <c r="D230" s="24">
        <v>4.7300000000000004</v>
      </c>
      <c r="E230" s="24">
        <v>3.06</v>
      </c>
      <c r="F230" s="24">
        <v>3.63</v>
      </c>
      <c r="G230" s="24">
        <v>2.33</v>
      </c>
      <c r="H230" s="24">
        <v>0</v>
      </c>
      <c r="I230" s="24">
        <v>4.5</v>
      </c>
      <c r="J230" s="24">
        <f t="shared" si="21"/>
        <v>18.25</v>
      </c>
      <c r="K230" s="24" t="s">
        <v>475</v>
      </c>
      <c r="L230" s="25">
        <f t="shared" si="25"/>
        <v>18.25</v>
      </c>
    </row>
    <row r="231" spans="1:12">
      <c r="A231" s="27">
        <v>47</v>
      </c>
      <c r="B231" s="45">
        <v>200942804</v>
      </c>
      <c r="C231" s="59" t="s">
        <v>215</v>
      </c>
      <c r="D231" s="24">
        <v>2.63</v>
      </c>
      <c r="E231" s="24">
        <v>0.81</v>
      </c>
      <c r="F231" s="24">
        <v>2.58</v>
      </c>
      <c r="G231" s="24">
        <v>0.23</v>
      </c>
      <c r="H231" s="24">
        <v>0</v>
      </c>
      <c r="I231" s="24">
        <v>4.25</v>
      </c>
      <c r="J231" s="24">
        <f t="shared" si="21"/>
        <v>10.5</v>
      </c>
      <c r="K231" s="24" t="s">
        <v>475</v>
      </c>
      <c r="L231" s="25">
        <f t="shared" si="25"/>
        <v>10.5</v>
      </c>
    </row>
    <row r="232" spans="1:12">
      <c r="A232" s="27">
        <v>48</v>
      </c>
      <c r="B232" s="45">
        <v>200942806</v>
      </c>
      <c r="C232" s="59" t="s">
        <v>216</v>
      </c>
      <c r="D232" s="24">
        <v>2.1</v>
      </c>
      <c r="E232" s="24">
        <v>1.57</v>
      </c>
      <c r="F232" s="24">
        <v>0</v>
      </c>
      <c r="G232" s="24">
        <v>0</v>
      </c>
      <c r="H232" s="24">
        <v>0</v>
      </c>
      <c r="I232" s="24">
        <v>2</v>
      </c>
      <c r="J232" s="24">
        <f t="shared" si="21"/>
        <v>5.67</v>
      </c>
      <c r="K232" s="24" t="s">
        <v>475</v>
      </c>
      <c r="L232" s="25">
        <f t="shared" si="25"/>
        <v>5.67</v>
      </c>
    </row>
    <row r="233" spans="1:12">
      <c r="A233" s="27">
        <v>49</v>
      </c>
      <c r="B233" s="45">
        <v>200942915</v>
      </c>
      <c r="C233" s="59" t="s">
        <v>217</v>
      </c>
      <c r="D233" s="24">
        <v>3.75</v>
      </c>
      <c r="E233" s="24">
        <v>3.97</v>
      </c>
      <c r="F233" s="24">
        <v>3.78</v>
      </c>
      <c r="G233" s="24">
        <v>0</v>
      </c>
      <c r="H233" s="24">
        <v>0</v>
      </c>
      <c r="I233" s="24">
        <v>2.6</v>
      </c>
      <c r="J233" s="24">
        <f t="shared" si="21"/>
        <v>14.1</v>
      </c>
      <c r="K233" s="24" t="s">
        <v>475</v>
      </c>
      <c r="L233" s="25">
        <f t="shared" si="25"/>
        <v>14.1</v>
      </c>
    </row>
    <row r="234" spans="1:12">
      <c r="A234" s="27">
        <v>50</v>
      </c>
      <c r="B234" s="57">
        <v>200942930</v>
      </c>
      <c r="C234" s="60" t="s">
        <v>218</v>
      </c>
      <c r="D234" s="24">
        <v>3.75</v>
      </c>
      <c r="E234" s="24">
        <v>2.29</v>
      </c>
      <c r="F234" s="24">
        <v>2.81</v>
      </c>
      <c r="G234" s="24">
        <v>0.23</v>
      </c>
      <c r="H234" s="24">
        <v>0</v>
      </c>
      <c r="I234" s="24">
        <v>4.0999999999999996</v>
      </c>
      <c r="J234" s="24">
        <f t="shared" si="21"/>
        <v>13.18</v>
      </c>
      <c r="K234" s="24" t="s">
        <v>475</v>
      </c>
      <c r="L234" s="25">
        <f t="shared" si="25"/>
        <v>13.18</v>
      </c>
    </row>
    <row r="235" spans="1:12">
      <c r="A235" s="27">
        <v>51</v>
      </c>
      <c r="B235" s="45">
        <v>200942987</v>
      </c>
      <c r="C235" s="56" t="s">
        <v>219</v>
      </c>
      <c r="D235" s="24">
        <v>3</v>
      </c>
      <c r="E235" s="24">
        <v>0.17</v>
      </c>
      <c r="F235" s="24">
        <v>3.36</v>
      </c>
      <c r="G235" s="24">
        <v>0</v>
      </c>
      <c r="H235" s="24">
        <v>0</v>
      </c>
      <c r="I235" s="24">
        <v>3.75</v>
      </c>
      <c r="J235" s="24">
        <f t="shared" si="21"/>
        <v>10.28</v>
      </c>
      <c r="K235" s="24" t="s">
        <v>475</v>
      </c>
      <c r="L235" s="25">
        <f t="shared" si="25"/>
        <v>10.28</v>
      </c>
    </row>
    <row r="236" spans="1:12">
      <c r="A236" s="27">
        <v>52</v>
      </c>
      <c r="B236" s="45">
        <v>200943116</v>
      </c>
      <c r="C236" s="56" t="s">
        <v>220</v>
      </c>
      <c r="D236" s="24">
        <v>4.2</v>
      </c>
      <c r="E236" s="24">
        <v>2.58</v>
      </c>
      <c r="F236" s="24">
        <v>2.81</v>
      </c>
      <c r="G236" s="24">
        <v>0</v>
      </c>
      <c r="H236" s="24">
        <v>0</v>
      </c>
      <c r="I236" s="24">
        <v>2.2999999999999998</v>
      </c>
      <c r="J236" s="24">
        <f t="shared" si="21"/>
        <v>11.89</v>
      </c>
      <c r="K236" s="24" t="s">
        <v>475</v>
      </c>
      <c r="L236" s="25">
        <f t="shared" si="25"/>
        <v>11.89</v>
      </c>
    </row>
    <row r="237" spans="1:12">
      <c r="A237" s="27">
        <v>53</v>
      </c>
      <c r="B237" s="37">
        <v>200943121</v>
      </c>
      <c r="C237" s="51" t="s">
        <v>221</v>
      </c>
      <c r="D237" s="24">
        <v>3.68</v>
      </c>
      <c r="E237" s="24">
        <v>3.49</v>
      </c>
      <c r="F237" s="24">
        <v>3.24</v>
      </c>
      <c r="G237" s="24">
        <v>0</v>
      </c>
      <c r="H237" s="24">
        <v>0</v>
      </c>
      <c r="I237" s="24">
        <v>3.5</v>
      </c>
      <c r="J237" s="24">
        <f t="shared" si="21"/>
        <v>13.91</v>
      </c>
      <c r="K237" s="24" t="s">
        <v>475</v>
      </c>
      <c r="L237" s="25">
        <f t="shared" si="25"/>
        <v>13.91</v>
      </c>
    </row>
    <row r="238" spans="1:12">
      <c r="A238" s="27">
        <v>54</v>
      </c>
      <c r="B238" s="37">
        <v>200943122</v>
      </c>
      <c r="C238" s="51" t="s">
        <v>222</v>
      </c>
      <c r="D238" s="24">
        <v>2.5499999999999998</v>
      </c>
      <c r="E238" s="24">
        <v>2.2400000000000002</v>
      </c>
      <c r="F238" s="24">
        <v>3.92</v>
      </c>
      <c r="G238" s="24">
        <v>0</v>
      </c>
      <c r="H238" s="24">
        <v>0</v>
      </c>
      <c r="I238" s="24">
        <v>3.5</v>
      </c>
      <c r="J238" s="24">
        <f t="shared" si="21"/>
        <v>12.21</v>
      </c>
      <c r="K238" s="24" t="s">
        <v>475</v>
      </c>
      <c r="L238" s="25">
        <f t="shared" si="25"/>
        <v>12.21</v>
      </c>
    </row>
    <row r="239" spans="1:12">
      <c r="A239" s="27">
        <v>55</v>
      </c>
      <c r="B239" s="37">
        <v>200943128</v>
      </c>
      <c r="C239" s="51" t="s">
        <v>223</v>
      </c>
      <c r="D239" s="24">
        <v>1.95</v>
      </c>
      <c r="E239" s="24">
        <v>0</v>
      </c>
      <c r="F239" s="24">
        <v>1.58</v>
      </c>
      <c r="G239" s="24">
        <v>0</v>
      </c>
      <c r="H239" s="24">
        <v>0</v>
      </c>
      <c r="I239" s="24">
        <v>3.75</v>
      </c>
      <c r="J239" s="24">
        <f t="shared" si="21"/>
        <v>7.28</v>
      </c>
      <c r="K239" s="24" t="s">
        <v>475</v>
      </c>
      <c r="L239" s="25">
        <f t="shared" si="25"/>
        <v>7.28</v>
      </c>
    </row>
    <row r="240" spans="1:12">
      <c r="A240" s="27">
        <v>56</v>
      </c>
      <c r="B240" s="37">
        <v>200943314</v>
      </c>
      <c r="C240" s="51" t="s">
        <v>224</v>
      </c>
      <c r="D240" s="24">
        <v>3.6</v>
      </c>
      <c r="E240" s="24">
        <v>0.73</v>
      </c>
      <c r="F240" s="24">
        <v>3.7</v>
      </c>
      <c r="G240" s="24">
        <v>0</v>
      </c>
      <c r="H240" s="24">
        <v>0</v>
      </c>
      <c r="I240" s="24">
        <v>1.25</v>
      </c>
      <c r="J240" s="24">
        <f t="shared" si="21"/>
        <v>9.2799999999999994</v>
      </c>
      <c r="K240" s="24" t="s">
        <v>475</v>
      </c>
      <c r="L240" s="25">
        <f t="shared" si="25"/>
        <v>9.2799999999999994</v>
      </c>
    </row>
    <row r="241" spans="1:12">
      <c r="A241" s="27">
        <v>57</v>
      </c>
      <c r="B241" s="37">
        <v>200943330</v>
      </c>
      <c r="C241" s="51" t="s">
        <v>225</v>
      </c>
      <c r="D241" s="24">
        <v>2.85</v>
      </c>
      <c r="E241" s="24">
        <v>0.49</v>
      </c>
      <c r="F241" s="24">
        <v>1.35</v>
      </c>
      <c r="G241" s="24">
        <v>0</v>
      </c>
      <c r="H241" s="24">
        <v>0</v>
      </c>
      <c r="I241" s="24">
        <v>1.05</v>
      </c>
      <c r="J241" s="24">
        <f t="shared" si="21"/>
        <v>5.74</v>
      </c>
      <c r="K241" s="24" t="s">
        <v>475</v>
      </c>
      <c r="L241" s="25">
        <f t="shared" si="25"/>
        <v>5.74</v>
      </c>
    </row>
    <row r="242" spans="1:12">
      <c r="A242" s="27">
        <v>58</v>
      </c>
      <c r="B242" s="40">
        <v>200943368</v>
      </c>
      <c r="C242" s="52" t="s">
        <v>226</v>
      </c>
      <c r="D242" s="24">
        <v>8.81</v>
      </c>
      <c r="E242" s="24">
        <v>2.76</v>
      </c>
      <c r="F242" s="24">
        <v>3.47</v>
      </c>
      <c r="G242" s="24">
        <v>0.38</v>
      </c>
      <c r="H242" s="24">
        <v>0</v>
      </c>
      <c r="I242" s="24">
        <v>3</v>
      </c>
      <c r="J242" s="24">
        <f t="shared" si="21"/>
        <v>18.420000000000002</v>
      </c>
      <c r="K242" s="24" t="s">
        <v>475</v>
      </c>
      <c r="L242" s="25">
        <f t="shared" si="25"/>
        <v>18.420000000000002</v>
      </c>
    </row>
    <row r="243" spans="1:12">
      <c r="A243" s="27">
        <v>59</v>
      </c>
      <c r="B243" s="37">
        <v>200943645</v>
      </c>
      <c r="C243" s="52" t="s">
        <v>227</v>
      </c>
      <c r="D243" s="24">
        <v>4.6100000000000003</v>
      </c>
      <c r="E243" s="24">
        <v>5.43</v>
      </c>
      <c r="F243" s="24">
        <v>5.37</v>
      </c>
      <c r="G243" s="24">
        <v>3.15</v>
      </c>
      <c r="H243" s="24">
        <v>0</v>
      </c>
      <c r="I243" s="24">
        <v>4</v>
      </c>
      <c r="J243" s="24">
        <f t="shared" si="21"/>
        <v>22.56</v>
      </c>
      <c r="K243" s="24" t="s">
        <v>475</v>
      </c>
      <c r="L243" s="25">
        <f t="shared" si="25"/>
        <v>22.56</v>
      </c>
    </row>
    <row r="244" spans="1:12">
      <c r="A244" s="27">
        <v>60</v>
      </c>
      <c r="B244" s="37">
        <v>200943703</v>
      </c>
      <c r="C244" s="52" t="s">
        <v>228</v>
      </c>
      <c r="D244" s="24">
        <v>4.5</v>
      </c>
      <c r="E244" s="24">
        <v>4.01</v>
      </c>
      <c r="F244" s="24">
        <v>7.89</v>
      </c>
      <c r="G244" s="24">
        <v>6.15</v>
      </c>
      <c r="H244" s="24">
        <v>0</v>
      </c>
      <c r="I244" s="24">
        <v>4.5</v>
      </c>
      <c r="J244" s="24">
        <f t="shared" si="21"/>
        <v>27.049999999999997</v>
      </c>
      <c r="K244" s="24" t="s">
        <v>475</v>
      </c>
      <c r="L244" s="25">
        <f t="shared" si="25"/>
        <v>27.049999999999997</v>
      </c>
    </row>
    <row r="245" spans="1:12">
      <c r="A245" s="27">
        <v>61</v>
      </c>
      <c r="B245" s="45">
        <v>200944051</v>
      </c>
      <c r="C245" s="60" t="s">
        <v>229</v>
      </c>
      <c r="D245" s="24">
        <v>4.6900000000000004</v>
      </c>
      <c r="E245" s="24">
        <v>0.52</v>
      </c>
      <c r="F245" s="24">
        <v>0</v>
      </c>
      <c r="G245" s="24">
        <v>0</v>
      </c>
      <c r="H245" s="24">
        <v>0</v>
      </c>
      <c r="I245" s="24">
        <v>1</v>
      </c>
      <c r="J245" s="24">
        <f t="shared" si="21"/>
        <v>6.2100000000000009</v>
      </c>
      <c r="K245" s="24" t="s">
        <v>475</v>
      </c>
      <c r="L245" s="25">
        <f t="shared" si="25"/>
        <v>6.2100000000000009</v>
      </c>
    </row>
    <row r="246" spans="1:12">
      <c r="A246" s="27">
        <v>62</v>
      </c>
      <c r="B246" s="37">
        <v>200944223</v>
      </c>
      <c r="C246" s="52" t="s">
        <v>230</v>
      </c>
      <c r="D246" s="24">
        <v>3.6</v>
      </c>
      <c r="E246" s="24">
        <v>1.65</v>
      </c>
      <c r="F246" s="24">
        <v>0</v>
      </c>
      <c r="G246" s="24">
        <v>0</v>
      </c>
      <c r="H246" s="24">
        <v>0</v>
      </c>
      <c r="I246" s="24">
        <v>1</v>
      </c>
      <c r="J246" s="24">
        <f t="shared" si="21"/>
        <v>6.25</v>
      </c>
      <c r="K246" s="24" t="s">
        <v>475</v>
      </c>
      <c r="L246" s="25">
        <f t="shared" si="25"/>
        <v>6.25</v>
      </c>
    </row>
    <row r="247" spans="1:12">
      <c r="A247" s="27">
        <v>63</v>
      </c>
      <c r="B247" s="37">
        <v>200944768</v>
      </c>
      <c r="C247" s="52" t="s">
        <v>231</v>
      </c>
      <c r="D247" s="24">
        <v>3.79</v>
      </c>
      <c r="E247" s="24">
        <v>1.4</v>
      </c>
      <c r="F247" s="24">
        <v>4.16</v>
      </c>
      <c r="G247" s="24">
        <v>0.15</v>
      </c>
      <c r="H247" s="24">
        <v>0</v>
      </c>
      <c r="I247" s="24">
        <v>4</v>
      </c>
      <c r="J247" s="24">
        <f t="shared" si="21"/>
        <v>13.5</v>
      </c>
      <c r="K247" s="24" t="s">
        <v>475</v>
      </c>
      <c r="L247" s="25">
        <f t="shared" si="25"/>
        <v>13.5</v>
      </c>
    </row>
    <row r="248" spans="1:12">
      <c r="A248" s="27">
        <v>64</v>
      </c>
      <c r="B248" s="37">
        <v>200944831</v>
      </c>
      <c r="C248" s="51" t="s">
        <v>232</v>
      </c>
      <c r="D248" s="24">
        <v>4.8</v>
      </c>
      <c r="E248" s="24">
        <v>2.4</v>
      </c>
      <c r="F248" s="24">
        <v>3.47</v>
      </c>
      <c r="G248" s="24">
        <v>0.9</v>
      </c>
      <c r="H248" s="24">
        <v>1.05</v>
      </c>
      <c r="I248" s="24">
        <v>4.25</v>
      </c>
      <c r="J248" s="24">
        <f t="shared" si="21"/>
        <v>16.87</v>
      </c>
      <c r="K248" s="24" t="s">
        <v>475</v>
      </c>
      <c r="L248" s="25">
        <f t="shared" si="25"/>
        <v>16.87</v>
      </c>
    </row>
    <row r="249" spans="1:12">
      <c r="A249" s="29"/>
      <c r="B249" s="29"/>
      <c r="C249" s="30"/>
      <c r="D249" s="31"/>
      <c r="E249" s="31"/>
      <c r="F249" s="31"/>
      <c r="G249" s="31"/>
      <c r="H249" s="31"/>
      <c r="I249" s="31"/>
      <c r="J249" s="31"/>
      <c r="K249" s="31"/>
      <c r="L249" s="32"/>
    </row>
    <row r="250" spans="1:12">
      <c r="A250" s="29"/>
      <c r="B250" s="29"/>
      <c r="C250" s="30"/>
      <c r="D250" s="31"/>
      <c r="E250" s="31"/>
      <c r="F250" s="31"/>
      <c r="G250" s="31"/>
      <c r="H250" s="31"/>
      <c r="I250" s="31"/>
      <c r="J250" s="31"/>
      <c r="K250" s="31"/>
      <c r="L250" s="32"/>
    </row>
    <row r="251" spans="1:12" ht="17.25" thickBot="1">
      <c r="A251" s="33"/>
      <c r="B251" s="33"/>
      <c r="C251" s="34"/>
      <c r="D251" s="31"/>
      <c r="E251" s="31"/>
      <c r="F251" s="31"/>
      <c r="G251" s="31"/>
      <c r="H251" s="35"/>
      <c r="I251" s="35"/>
      <c r="J251" s="35"/>
      <c r="K251" s="9"/>
      <c r="L251" s="32"/>
    </row>
    <row r="252" spans="1:12">
      <c r="H252" s="100" t="s">
        <v>101</v>
      </c>
      <c r="I252" s="100"/>
      <c r="J252" s="100"/>
      <c r="L252" s="1"/>
    </row>
    <row r="253" spans="1:12">
      <c r="D253" s="36"/>
      <c r="H253" s="100" t="s">
        <v>21</v>
      </c>
      <c r="I253" s="100"/>
      <c r="J253" s="100"/>
      <c r="L253" s="1"/>
    </row>
    <row r="254" spans="1:12">
      <c r="D254" s="36"/>
      <c r="H254" s="100" t="s">
        <v>97</v>
      </c>
      <c r="I254" s="100"/>
      <c r="J254" s="100"/>
      <c r="L254" s="1"/>
    </row>
    <row r="259" spans="1:12" ht="17.25" thickBot="1">
      <c r="A259" s="1" t="s">
        <v>0</v>
      </c>
      <c r="I259" s="3"/>
    </row>
    <row r="260" spans="1:12">
      <c r="A260" s="1" t="s">
        <v>1</v>
      </c>
      <c r="F260" s="4"/>
      <c r="G260" s="5"/>
      <c r="H260" s="6"/>
      <c r="I260" s="7"/>
    </row>
    <row r="261" spans="1:12">
      <c r="A261" s="8" t="s">
        <v>2</v>
      </c>
      <c r="B261" s="9"/>
      <c r="E261" s="7"/>
      <c r="F261" s="10"/>
      <c r="G261" s="11"/>
      <c r="H261" s="12"/>
      <c r="I261" s="7"/>
    </row>
    <row r="262" spans="1:12" ht="17.25" thickBot="1">
      <c r="A262" s="13" t="s">
        <v>3</v>
      </c>
      <c r="B262" s="9"/>
      <c r="E262" s="7"/>
      <c r="F262" s="10"/>
      <c r="G262" s="11"/>
      <c r="H262" s="12"/>
      <c r="I262" s="7"/>
    </row>
    <row r="263" spans="1:12" ht="17.25" thickBot="1">
      <c r="A263" s="14" t="s">
        <v>22</v>
      </c>
      <c r="B263" s="15"/>
      <c r="C263" s="16"/>
      <c r="E263" s="7"/>
      <c r="F263" s="17"/>
      <c r="G263" s="18"/>
      <c r="H263" s="19"/>
      <c r="I263" s="7"/>
    </row>
    <row r="264" spans="1:12">
      <c r="A264" s="8"/>
      <c r="B264" s="9"/>
      <c r="E264" s="7"/>
      <c r="I264" s="3"/>
    </row>
    <row r="265" spans="1:12">
      <c r="A265" s="1" t="s">
        <v>91</v>
      </c>
      <c r="B265" s="9"/>
      <c r="C265" s="20" t="s">
        <v>233</v>
      </c>
      <c r="E265" s="7"/>
      <c r="I265" s="3"/>
    </row>
    <row r="266" spans="1:12">
      <c r="A266" s="1" t="s">
        <v>4</v>
      </c>
      <c r="C266" s="20" t="s">
        <v>98</v>
      </c>
      <c r="I266" s="3"/>
    </row>
    <row r="267" spans="1:12">
      <c r="A267" s="1" t="s">
        <v>5</v>
      </c>
      <c r="C267" s="20" t="s">
        <v>23</v>
      </c>
    </row>
    <row r="268" spans="1:12">
      <c r="A268" s="21"/>
      <c r="B268" s="21"/>
      <c r="C268" s="21"/>
      <c r="D268" s="21"/>
      <c r="E268" s="21"/>
      <c r="F268" s="21"/>
      <c r="G268" s="21"/>
      <c r="H268" s="21"/>
      <c r="I268" s="21"/>
      <c r="J268" s="21"/>
    </row>
    <row r="269" spans="1:12">
      <c r="A269" s="1"/>
      <c r="C269" s="22" t="s">
        <v>6</v>
      </c>
      <c r="D269" s="22" t="s">
        <v>93</v>
      </c>
      <c r="E269" s="22" t="s">
        <v>93</v>
      </c>
      <c r="F269" s="22" t="s">
        <v>93</v>
      </c>
      <c r="G269" s="22" t="s">
        <v>93</v>
      </c>
      <c r="H269" s="22" t="s">
        <v>93</v>
      </c>
      <c r="I269" s="22" t="s">
        <v>94</v>
      </c>
      <c r="J269" s="22" t="s">
        <v>8</v>
      </c>
      <c r="K269" s="22" t="s">
        <v>7</v>
      </c>
      <c r="L269" s="22" t="s">
        <v>9</v>
      </c>
    </row>
    <row r="270" spans="1:12">
      <c r="A270" s="22" t="s">
        <v>10</v>
      </c>
      <c r="B270" s="22" t="s">
        <v>11</v>
      </c>
      <c r="C270" s="22" t="s">
        <v>12</v>
      </c>
      <c r="D270" s="22" t="s">
        <v>13</v>
      </c>
      <c r="E270" s="22" t="s">
        <v>14</v>
      </c>
      <c r="F270" s="22" t="s">
        <v>15</v>
      </c>
      <c r="G270" s="22" t="s">
        <v>16</v>
      </c>
      <c r="H270" s="22" t="s">
        <v>17</v>
      </c>
      <c r="I270" s="22" t="s">
        <v>95</v>
      </c>
      <c r="J270" s="22" t="s">
        <v>18</v>
      </c>
      <c r="K270" s="22" t="s">
        <v>19</v>
      </c>
      <c r="L270" s="22" t="s">
        <v>20</v>
      </c>
    </row>
    <row r="271" spans="1:12">
      <c r="A271" s="23">
        <v>1</v>
      </c>
      <c r="B271" s="57">
        <v>200450652</v>
      </c>
      <c r="C271" s="60" t="s">
        <v>234</v>
      </c>
      <c r="D271" s="24">
        <v>8.32</v>
      </c>
      <c r="E271" s="24">
        <v>5.28</v>
      </c>
      <c r="F271" s="24">
        <v>0</v>
      </c>
      <c r="G271" s="24">
        <v>0</v>
      </c>
      <c r="H271" s="24">
        <v>0</v>
      </c>
      <c r="I271" s="24">
        <v>0</v>
      </c>
      <c r="J271" s="24">
        <f>+I271+H271+G271+F271+E271+D271</f>
        <v>13.600000000000001</v>
      </c>
      <c r="K271" s="24" t="s">
        <v>475</v>
      </c>
      <c r="L271" s="25">
        <f>+J271</f>
        <v>13.600000000000001</v>
      </c>
    </row>
    <row r="272" spans="1:12">
      <c r="A272" s="26">
        <v>2</v>
      </c>
      <c r="B272" s="45">
        <v>200741726</v>
      </c>
      <c r="C272" s="56" t="s">
        <v>235</v>
      </c>
      <c r="D272" s="24">
        <v>6.52</v>
      </c>
      <c r="E272" s="24">
        <v>4.4000000000000004</v>
      </c>
      <c r="F272" s="24">
        <v>4.97</v>
      </c>
      <c r="G272" s="24">
        <v>0.45</v>
      </c>
      <c r="H272" s="24">
        <v>0</v>
      </c>
      <c r="I272" s="24">
        <v>3</v>
      </c>
      <c r="J272" s="24">
        <f t="shared" ref="J272:J336" si="26">+I272+H272+G272+F272+E272+D272</f>
        <v>19.34</v>
      </c>
      <c r="K272" s="24" t="s">
        <v>475</v>
      </c>
      <c r="L272" s="25">
        <f t="shared" ref="L272:L274" si="27">+J272</f>
        <v>19.34</v>
      </c>
    </row>
    <row r="273" spans="1:12">
      <c r="A273" s="27">
        <v>3</v>
      </c>
      <c r="B273" s="45">
        <v>200741810</v>
      </c>
      <c r="C273" s="60" t="s">
        <v>236</v>
      </c>
      <c r="D273" s="24">
        <v>8.8800000000000008</v>
      </c>
      <c r="E273" s="24">
        <v>5.14</v>
      </c>
      <c r="F273" s="24">
        <v>4.12</v>
      </c>
      <c r="G273" s="24">
        <v>1.27</v>
      </c>
      <c r="H273" s="24">
        <v>0</v>
      </c>
      <c r="I273" s="24">
        <v>1.25</v>
      </c>
      <c r="J273" s="24">
        <f t="shared" si="26"/>
        <v>20.660000000000004</v>
      </c>
      <c r="K273" s="24" t="s">
        <v>475</v>
      </c>
      <c r="L273" s="25">
        <f t="shared" si="27"/>
        <v>20.660000000000004</v>
      </c>
    </row>
    <row r="274" spans="1:12">
      <c r="A274" s="26">
        <v>4</v>
      </c>
      <c r="B274" s="45">
        <v>200741839</v>
      </c>
      <c r="C274" s="56" t="s">
        <v>237</v>
      </c>
      <c r="D274" s="24">
        <v>8.17</v>
      </c>
      <c r="E274" s="24">
        <v>6.91</v>
      </c>
      <c r="F274" s="24">
        <v>5.76</v>
      </c>
      <c r="G274" s="24">
        <v>3.53</v>
      </c>
      <c r="H274" s="24">
        <v>0</v>
      </c>
      <c r="I274" s="24">
        <v>2.75</v>
      </c>
      <c r="J274" s="24">
        <f t="shared" si="26"/>
        <v>27.119999999999997</v>
      </c>
      <c r="K274" s="24" t="s">
        <v>475</v>
      </c>
      <c r="L274" s="25">
        <f t="shared" si="27"/>
        <v>27.119999999999997</v>
      </c>
    </row>
    <row r="275" spans="1:12">
      <c r="A275" s="26">
        <v>5</v>
      </c>
      <c r="B275" s="45">
        <v>200741842</v>
      </c>
      <c r="C275" s="56" t="s">
        <v>238</v>
      </c>
      <c r="D275" s="79">
        <v>9.86</v>
      </c>
      <c r="E275" s="79">
        <v>9.2200000000000006</v>
      </c>
      <c r="F275" s="79">
        <v>9.6</v>
      </c>
      <c r="G275" s="79">
        <v>9.52</v>
      </c>
      <c r="H275" s="79">
        <v>9.52</v>
      </c>
      <c r="I275" s="79">
        <v>5</v>
      </c>
      <c r="J275" s="79">
        <f t="shared" si="26"/>
        <v>52.72</v>
      </c>
      <c r="K275" s="79">
        <v>9</v>
      </c>
      <c r="L275" s="80">
        <f t="shared" ref="L275:L330" si="28">+K275+J275</f>
        <v>61.72</v>
      </c>
    </row>
    <row r="276" spans="1:12">
      <c r="A276" s="26">
        <v>6</v>
      </c>
      <c r="B276" s="45">
        <v>200741850</v>
      </c>
      <c r="C276" s="56" t="s">
        <v>239</v>
      </c>
      <c r="D276" s="24">
        <v>8.4</v>
      </c>
      <c r="E276" s="24">
        <v>6.28</v>
      </c>
      <c r="F276" s="24">
        <v>5.92</v>
      </c>
      <c r="G276" s="24">
        <v>4.5</v>
      </c>
      <c r="H276" s="24">
        <v>0</v>
      </c>
      <c r="I276" s="24">
        <v>4</v>
      </c>
      <c r="J276" s="24">
        <f t="shared" si="26"/>
        <v>29.1</v>
      </c>
      <c r="K276" s="24" t="s">
        <v>475</v>
      </c>
      <c r="L276" s="25">
        <f>+J276</f>
        <v>29.1</v>
      </c>
    </row>
    <row r="277" spans="1:12">
      <c r="A277" s="26">
        <v>7</v>
      </c>
      <c r="B277" s="45">
        <v>200840073</v>
      </c>
      <c r="C277" s="56" t="s">
        <v>240</v>
      </c>
      <c r="D277" s="24">
        <v>12.15</v>
      </c>
      <c r="E277" s="24">
        <v>7.24</v>
      </c>
      <c r="F277" s="24">
        <v>9.15</v>
      </c>
      <c r="G277" s="24">
        <v>9.9</v>
      </c>
      <c r="H277" s="24">
        <v>11.17</v>
      </c>
      <c r="I277" s="24">
        <v>4.25</v>
      </c>
      <c r="J277" s="24">
        <f t="shared" si="26"/>
        <v>53.86</v>
      </c>
      <c r="K277" s="24">
        <v>8.8000000000000007</v>
      </c>
      <c r="L277" s="25">
        <f t="shared" si="28"/>
        <v>62.66</v>
      </c>
    </row>
    <row r="278" spans="1:12">
      <c r="A278" s="26">
        <v>8</v>
      </c>
      <c r="B278" s="45">
        <v>200840076</v>
      </c>
      <c r="C278" s="56" t="s">
        <v>241</v>
      </c>
      <c r="D278" s="24">
        <v>10.42</v>
      </c>
      <c r="E278" s="24">
        <v>8.57</v>
      </c>
      <c r="F278" s="24">
        <v>6.89</v>
      </c>
      <c r="G278" s="24">
        <v>7.95</v>
      </c>
      <c r="H278" s="24">
        <v>10.8</v>
      </c>
      <c r="I278" s="24">
        <v>4.25</v>
      </c>
      <c r="J278" s="24">
        <f t="shared" si="26"/>
        <v>48.88</v>
      </c>
      <c r="K278" s="24">
        <v>7</v>
      </c>
      <c r="L278" s="25">
        <f t="shared" si="28"/>
        <v>55.88</v>
      </c>
    </row>
    <row r="279" spans="1:12">
      <c r="A279" s="26">
        <v>9</v>
      </c>
      <c r="B279" s="45">
        <v>200840177</v>
      </c>
      <c r="C279" s="56" t="s">
        <v>242</v>
      </c>
      <c r="D279" s="24">
        <v>5.0999999999999996</v>
      </c>
      <c r="E279" s="24">
        <v>5.99</v>
      </c>
      <c r="F279" s="24">
        <v>5.49</v>
      </c>
      <c r="G279" s="24">
        <v>2.93</v>
      </c>
      <c r="H279" s="24">
        <v>2.4</v>
      </c>
      <c r="I279" s="24">
        <v>4.3499999999999996</v>
      </c>
      <c r="J279" s="24">
        <f t="shared" si="26"/>
        <v>26.259999999999998</v>
      </c>
      <c r="K279" s="24" t="s">
        <v>475</v>
      </c>
      <c r="L279" s="25">
        <f>+J279</f>
        <v>26.259999999999998</v>
      </c>
    </row>
    <row r="280" spans="1:12">
      <c r="A280" s="26">
        <v>10</v>
      </c>
      <c r="B280" s="45">
        <v>200840205</v>
      </c>
      <c r="C280" s="60" t="s">
        <v>243</v>
      </c>
      <c r="D280" s="24">
        <v>11.25</v>
      </c>
      <c r="E280" s="24">
        <v>10.68</v>
      </c>
      <c r="F280" s="24">
        <v>12.18</v>
      </c>
      <c r="G280" s="24">
        <v>9.9700000000000006</v>
      </c>
      <c r="H280" s="24">
        <v>10.199999999999999</v>
      </c>
      <c r="I280" s="24">
        <v>5</v>
      </c>
      <c r="J280" s="24">
        <f t="shared" si="26"/>
        <v>59.28</v>
      </c>
      <c r="K280" s="24">
        <v>11.2</v>
      </c>
      <c r="L280" s="25">
        <f t="shared" si="28"/>
        <v>70.48</v>
      </c>
    </row>
    <row r="281" spans="1:12">
      <c r="A281" s="26">
        <v>11</v>
      </c>
      <c r="B281" s="45">
        <v>200840207</v>
      </c>
      <c r="C281" s="59" t="s">
        <v>244</v>
      </c>
      <c r="D281" s="24">
        <v>9</v>
      </c>
      <c r="E281" s="24">
        <v>6.48</v>
      </c>
      <c r="F281" s="24">
        <v>5.37</v>
      </c>
      <c r="G281" s="24">
        <v>4.3499999999999996</v>
      </c>
      <c r="H281" s="28">
        <v>5.0199999999999996</v>
      </c>
      <c r="I281" s="28">
        <v>4.25</v>
      </c>
      <c r="J281" s="24">
        <f t="shared" si="26"/>
        <v>34.47</v>
      </c>
      <c r="K281" s="24" t="s">
        <v>475</v>
      </c>
      <c r="L281" s="25">
        <f>+J281</f>
        <v>34.47</v>
      </c>
    </row>
    <row r="282" spans="1:12">
      <c r="A282" s="26">
        <v>12</v>
      </c>
      <c r="B282" s="45">
        <v>200840223</v>
      </c>
      <c r="C282" s="56" t="s">
        <v>245</v>
      </c>
      <c r="D282" s="24">
        <v>6.71</v>
      </c>
      <c r="E282" s="24">
        <v>3.32</v>
      </c>
      <c r="F282" s="24">
        <v>0</v>
      </c>
      <c r="G282" s="24">
        <v>0</v>
      </c>
      <c r="H282" s="28">
        <v>0</v>
      </c>
      <c r="I282" s="28">
        <v>2.75</v>
      </c>
      <c r="J282" s="24">
        <f t="shared" si="26"/>
        <v>12.780000000000001</v>
      </c>
      <c r="K282" s="24" t="s">
        <v>475</v>
      </c>
      <c r="L282" s="25">
        <f t="shared" ref="L282:L284" si="29">+J282</f>
        <v>12.780000000000001</v>
      </c>
    </row>
    <row r="283" spans="1:12">
      <c r="A283" s="26">
        <v>13</v>
      </c>
      <c r="B283" s="45">
        <v>200840267</v>
      </c>
      <c r="C283" s="56" t="s">
        <v>246</v>
      </c>
      <c r="D283" s="24">
        <v>5.62</v>
      </c>
      <c r="E283" s="24">
        <v>4.22</v>
      </c>
      <c r="F283" s="24">
        <v>4.83</v>
      </c>
      <c r="G283" s="24">
        <f>+H283</f>
        <v>4.05</v>
      </c>
      <c r="H283" s="28">
        <v>4.05</v>
      </c>
      <c r="I283" s="28">
        <v>4</v>
      </c>
      <c r="J283" s="24">
        <f t="shared" si="26"/>
        <v>26.77</v>
      </c>
      <c r="K283" s="24" t="s">
        <v>475</v>
      </c>
      <c r="L283" s="25">
        <f t="shared" si="29"/>
        <v>26.77</v>
      </c>
    </row>
    <row r="284" spans="1:12">
      <c r="A284" s="23">
        <v>14</v>
      </c>
      <c r="B284" s="45">
        <v>200840270</v>
      </c>
      <c r="C284" s="56" t="s">
        <v>247</v>
      </c>
      <c r="D284" s="24">
        <v>6.6</v>
      </c>
      <c r="E284" s="24">
        <v>3.74</v>
      </c>
      <c r="F284" s="24">
        <v>2.83</v>
      </c>
      <c r="G284" s="24">
        <v>3.07</v>
      </c>
      <c r="H284" s="28">
        <v>0</v>
      </c>
      <c r="I284" s="28">
        <v>5</v>
      </c>
      <c r="J284" s="24">
        <f t="shared" si="26"/>
        <v>21.240000000000002</v>
      </c>
      <c r="K284" s="24" t="s">
        <v>475</v>
      </c>
      <c r="L284" s="25">
        <f t="shared" si="29"/>
        <v>21.240000000000002</v>
      </c>
    </row>
    <row r="285" spans="1:12">
      <c r="A285" s="23">
        <v>15</v>
      </c>
      <c r="B285" s="45">
        <v>200842067</v>
      </c>
      <c r="C285" s="60" t="s">
        <v>248</v>
      </c>
      <c r="D285" s="24">
        <v>11.13</v>
      </c>
      <c r="E285" s="24">
        <v>12.39</v>
      </c>
      <c r="F285" s="24">
        <v>9.64</v>
      </c>
      <c r="G285" s="24">
        <v>10.24</v>
      </c>
      <c r="H285" s="24">
        <v>11.025</v>
      </c>
      <c r="I285" s="24">
        <v>5</v>
      </c>
      <c r="J285" s="24">
        <f t="shared" si="26"/>
        <v>59.425000000000004</v>
      </c>
      <c r="K285" s="24">
        <v>8.8000000000000007</v>
      </c>
      <c r="L285" s="25">
        <f t="shared" si="28"/>
        <v>68.225000000000009</v>
      </c>
    </row>
    <row r="286" spans="1:12">
      <c r="A286" s="23">
        <v>16</v>
      </c>
      <c r="B286" s="45">
        <v>200842086</v>
      </c>
      <c r="C286" s="56" t="s">
        <v>249</v>
      </c>
      <c r="D286" s="24">
        <v>11.81</v>
      </c>
      <c r="E286" s="24">
        <v>10.76</v>
      </c>
      <c r="F286" s="24">
        <v>12.34</v>
      </c>
      <c r="G286" s="24">
        <v>7.35</v>
      </c>
      <c r="H286" s="24">
        <v>10.37</v>
      </c>
      <c r="I286" s="24">
        <v>5</v>
      </c>
      <c r="J286" s="24">
        <f t="shared" si="26"/>
        <v>57.63</v>
      </c>
      <c r="K286" s="24">
        <v>12</v>
      </c>
      <c r="L286" s="25">
        <f t="shared" si="28"/>
        <v>69.63</v>
      </c>
    </row>
    <row r="287" spans="1:12">
      <c r="A287" s="23">
        <v>17</v>
      </c>
      <c r="B287" s="45">
        <v>200842104</v>
      </c>
      <c r="C287" s="56" t="s">
        <v>250</v>
      </c>
      <c r="D287" s="24">
        <v>10.53</v>
      </c>
      <c r="E287" s="24">
        <v>7.15</v>
      </c>
      <c r="F287" s="24">
        <v>7.97</v>
      </c>
      <c r="G287" s="24">
        <v>4.87</v>
      </c>
      <c r="H287" s="24">
        <v>8.92</v>
      </c>
      <c r="I287" s="24">
        <v>4</v>
      </c>
      <c r="J287" s="24">
        <f t="shared" si="26"/>
        <v>43.44</v>
      </c>
      <c r="K287" s="24">
        <v>8.6</v>
      </c>
      <c r="L287" s="25">
        <f t="shared" si="28"/>
        <v>52.04</v>
      </c>
    </row>
    <row r="288" spans="1:12">
      <c r="A288" s="27">
        <v>18</v>
      </c>
      <c r="B288" s="45">
        <v>200842109</v>
      </c>
      <c r="C288" s="60" t="s">
        <v>251</v>
      </c>
      <c r="D288" s="24">
        <v>4.3499999999999996</v>
      </c>
      <c r="E288" s="24">
        <v>4.12</v>
      </c>
      <c r="F288" s="24">
        <v>3.79</v>
      </c>
      <c r="G288" s="24">
        <v>1.72</v>
      </c>
      <c r="H288" s="24">
        <v>2.85</v>
      </c>
      <c r="I288" s="24">
        <v>5</v>
      </c>
      <c r="J288" s="24">
        <f t="shared" si="26"/>
        <v>21.83</v>
      </c>
      <c r="K288" s="24" t="s">
        <v>475</v>
      </c>
      <c r="L288" s="25">
        <f>+J288</f>
        <v>21.83</v>
      </c>
    </row>
    <row r="289" spans="1:12">
      <c r="A289" s="27">
        <v>19</v>
      </c>
      <c r="B289" s="45">
        <v>200842114</v>
      </c>
      <c r="C289" s="59" t="s">
        <v>252</v>
      </c>
      <c r="D289" s="24">
        <v>11.47</v>
      </c>
      <c r="E289" s="24">
        <v>9.26</v>
      </c>
      <c r="F289" s="24">
        <v>11.46</v>
      </c>
      <c r="G289" s="24">
        <v>11.62</v>
      </c>
      <c r="H289" s="24">
        <v>11.32</v>
      </c>
      <c r="I289" s="24">
        <v>4</v>
      </c>
      <c r="J289" s="24">
        <f t="shared" si="26"/>
        <v>59.129999999999995</v>
      </c>
      <c r="K289" s="24">
        <v>8.8000000000000007</v>
      </c>
      <c r="L289" s="25">
        <f t="shared" si="28"/>
        <v>67.929999999999993</v>
      </c>
    </row>
    <row r="290" spans="1:12">
      <c r="A290" s="27">
        <v>20</v>
      </c>
      <c r="B290" s="45">
        <v>200842115</v>
      </c>
      <c r="C290" s="56" t="s">
        <v>253</v>
      </c>
      <c r="D290" s="24">
        <v>7.46</v>
      </c>
      <c r="E290" s="24">
        <v>6.58</v>
      </c>
      <c r="F290" s="24">
        <v>7.26</v>
      </c>
      <c r="G290" s="24">
        <v>5.0999999999999996</v>
      </c>
      <c r="H290" s="24">
        <v>5.7</v>
      </c>
      <c r="I290" s="24">
        <v>4</v>
      </c>
      <c r="J290" s="24">
        <f t="shared" si="26"/>
        <v>36.1</v>
      </c>
      <c r="K290" s="24" t="s">
        <v>475</v>
      </c>
      <c r="L290" s="25">
        <f>+J290</f>
        <v>36.1</v>
      </c>
    </row>
    <row r="291" spans="1:12">
      <c r="A291" s="27">
        <v>21</v>
      </c>
      <c r="B291" s="45">
        <v>200842125</v>
      </c>
      <c r="C291" s="56" t="s">
        <v>254</v>
      </c>
      <c r="D291" s="24">
        <v>6.37</v>
      </c>
      <c r="E291" s="24">
        <v>4.1100000000000003</v>
      </c>
      <c r="F291" s="24">
        <v>0</v>
      </c>
      <c r="G291" s="24">
        <v>0</v>
      </c>
      <c r="H291" s="24">
        <v>0</v>
      </c>
      <c r="I291" s="24">
        <v>3.15</v>
      </c>
      <c r="J291" s="24">
        <f t="shared" si="26"/>
        <v>13.629999999999999</v>
      </c>
      <c r="K291" s="24" t="s">
        <v>475</v>
      </c>
      <c r="L291" s="25">
        <f t="shared" ref="L291:L293" si="30">+J291</f>
        <v>13.629999999999999</v>
      </c>
    </row>
    <row r="292" spans="1:12">
      <c r="A292" s="27">
        <v>22</v>
      </c>
      <c r="B292" s="45">
        <v>200842134</v>
      </c>
      <c r="C292" s="56" t="s">
        <v>255</v>
      </c>
      <c r="D292" s="24">
        <v>3</v>
      </c>
      <c r="E292" s="24">
        <v>2.5099999999999998</v>
      </c>
      <c r="F292" s="24">
        <v>5.28</v>
      </c>
      <c r="G292" s="24">
        <v>1.72</v>
      </c>
      <c r="H292" s="24">
        <v>1.2</v>
      </c>
      <c r="I292" s="24">
        <v>5</v>
      </c>
      <c r="J292" s="24">
        <f t="shared" si="26"/>
        <v>18.71</v>
      </c>
      <c r="K292" s="24" t="s">
        <v>475</v>
      </c>
      <c r="L292" s="25">
        <f t="shared" si="30"/>
        <v>18.71</v>
      </c>
    </row>
    <row r="293" spans="1:12">
      <c r="A293" s="27">
        <v>23</v>
      </c>
      <c r="B293" s="45">
        <v>200842427</v>
      </c>
      <c r="C293" s="56" t="s">
        <v>256</v>
      </c>
      <c r="D293" s="24">
        <v>7.27</v>
      </c>
      <c r="E293" s="24">
        <v>4.88</v>
      </c>
      <c r="F293" s="24">
        <v>4.7</v>
      </c>
      <c r="G293" s="24">
        <v>4.25</v>
      </c>
      <c r="H293" s="24">
        <v>0</v>
      </c>
      <c r="I293" s="24">
        <v>3.75</v>
      </c>
      <c r="J293" s="24">
        <f t="shared" si="26"/>
        <v>24.849999999999998</v>
      </c>
      <c r="K293" s="24" t="s">
        <v>475</v>
      </c>
      <c r="L293" s="25">
        <f t="shared" si="30"/>
        <v>24.849999999999998</v>
      </c>
    </row>
    <row r="294" spans="1:12">
      <c r="A294" s="27">
        <v>24</v>
      </c>
      <c r="B294" s="45">
        <v>200842440</v>
      </c>
      <c r="C294" s="56" t="s">
        <v>257</v>
      </c>
      <c r="D294" s="24">
        <v>12.26</v>
      </c>
      <c r="E294" s="24">
        <v>9.64</v>
      </c>
      <c r="F294" s="24">
        <v>9.18</v>
      </c>
      <c r="G294" s="24">
        <v>8.25</v>
      </c>
      <c r="H294" s="24">
        <v>9.4499999999999993</v>
      </c>
      <c r="I294" s="24">
        <v>4.25</v>
      </c>
      <c r="J294" s="24">
        <f t="shared" si="26"/>
        <v>53.029999999999994</v>
      </c>
      <c r="K294" s="24">
        <v>9.6</v>
      </c>
      <c r="L294" s="25">
        <f t="shared" si="28"/>
        <v>62.629999999999995</v>
      </c>
    </row>
    <row r="295" spans="1:12">
      <c r="A295" s="27">
        <v>25</v>
      </c>
      <c r="B295" s="45">
        <v>200842447</v>
      </c>
      <c r="C295" s="56" t="s">
        <v>258</v>
      </c>
      <c r="D295" s="24">
        <v>7.65</v>
      </c>
      <c r="E295" s="24">
        <v>4.5199999999999996</v>
      </c>
      <c r="F295" s="24">
        <v>5.81</v>
      </c>
      <c r="G295" s="24">
        <v>4.25</v>
      </c>
      <c r="H295" s="24">
        <v>2.85</v>
      </c>
      <c r="I295" s="24">
        <v>4</v>
      </c>
      <c r="J295" s="24">
        <f t="shared" si="26"/>
        <v>29.08</v>
      </c>
      <c r="K295" s="24" t="s">
        <v>475</v>
      </c>
      <c r="L295" s="25">
        <f>+J295</f>
        <v>29.08</v>
      </c>
    </row>
    <row r="296" spans="1:12">
      <c r="A296" s="27">
        <v>26</v>
      </c>
      <c r="B296" s="45">
        <v>200842674</v>
      </c>
      <c r="C296" s="60" t="s">
        <v>259</v>
      </c>
      <c r="D296" s="24">
        <v>11.06</v>
      </c>
      <c r="E296" s="24">
        <v>13.04</v>
      </c>
      <c r="F296" s="24">
        <v>10.99</v>
      </c>
      <c r="G296" s="24">
        <v>9.15</v>
      </c>
      <c r="H296" s="24">
        <v>8.6199999999999992</v>
      </c>
      <c r="I296" s="24">
        <v>5</v>
      </c>
      <c r="J296" s="24">
        <f t="shared" si="26"/>
        <v>57.86</v>
      </c>
      <c r="K296" s="24">
        <v>6.4</v>
      </c>
      <c r="L296" s="25">
        <f t="shared" si="28"/>
        <v>64.260000000000005</v>
      </c>
    </row>
    <row r="297" spans="1:12">
      <c r="A297" s="27">
        <v>27</v>
      </c>
      <c r="B297" s="45">
        <v>200843791</v>
      </c>
      <c r="C297" s="56" t="s">
        <v>260</v>
      </c>
      <c r="D297" s="24">
        <v>9.9</v>
      </c>
      <c r="E297" s="24">
        <v>5.12</v>
      </c>
      <c r="F297" s="24">
        <v>6.34</v>
      </c>
      <c r="G297" s="24">
        <v>4.2699999999999996</v>
      </c>
      <c r="H297" s="24">
        <v>4.87</v>
      </c>
      <c r="I297" s="24">
        <v>4</v>
      </c>
      <c r="J297" s="24">
        <f t="shared" si="26"/>
        <v>34.5</v>
      </c>
      <c r="K297" s="24" t="s">
        <v>475</v>
      </c>
      <c r="L297" s="25">
        <f>+J297</f>
        <v>34.5</v>
      </c>
    </row>
    <row r="298" spans="1:12">
      <c r="A298" s="27">
        <v>28</v>
      </c>
      <c r="B298" s="45">
        <v>200940321</v>
      </c>
      <c r="C298" s="58" t="s">
        <v>261</v>
      </c>
      <c r="D298" s="24">
        <v>5.88</v>
      </c>
      <c r="E298" s="24">
        <v>3.1</v>
      </c>
      <c r="F298" s="24">
        <v>3.48</v>
      </c>
      <c r="G298" s="24">
        <v>0.75</v>
      </c>
      <c r="H298" s="24">
        <v>0</v>
      </c>
      <c r="I298" s="24">
        <v>3.25</v>
      </c>
      <c r="J298" s="24">
        <f t="shared" si="26"/>
        <v>16.46</v>
      </c>
      <c r="K298" s="24" t="s">
        <v>475</v>
      </c>
      <c r="L298" s="25">
        <f>+J298</f>
        <v>16.46</v>
      </c>
    </row>
    <row r="299" spans="1:12">
      <c r="A299" s="27">
        <v>29</v>
      </c>
      <c r="B299" s="57">
        <v>200940333</v>
      </c>
      <c r="C299" s="56" t="s">
        <v>262</v>
      </c>
      <c r="D299" s="24">
        <v>11.66</v>
      </c>
      <c r="E299" s="24">
        <v>9.9</v>
      </c>
      <c r="F299" s="24">
        <v>10.96</v>
      </c>
      <c r="G299" s="24">
        <v>11.47</v>
      </c>
      <c r="H299" s="24">
        <v>9.15</v>
      </c>
      <c r="I299" s="24">
        <v>5</v>
      </c>
      <c r="J299" s="24">
        <f t="shared" si="26"/>
        <v>58.14</v>
      </c>
      <c r="K299" s="24">
        <v>10.6</v>
      </c>
      <c r="L299" s="25">
        <f t="shared" si="28"/>
        <v>68.739999999999995</v>
      </c>
    </row>
    <row r="300" spans="1:12">
      <c r="A300" s="27">
        <v>30</v>
      </c>
      <c r="B300" s="45">
        <v>200940343</v>
      </c>
      <c r="C300" s="58" t="s">
        <v>263</v>
      </c>
      <c r="D300" s="24">
        <v>7.31</v>
      </c>
      <c r="E300" s="24">
        <v>5.29</v>
      </c>
      <c r="F300" s="24">
        <v>8.61</v>
      </c>
      <c r="G300" s="24">
        <v>4.5</v>
      </c>
      <c r="H300" s="24">
        <v>8.5500000000000007</v>
      </c>
      <c r="I300" s="24">
        <v>5</v>
      </c>
      <c r="J300" s="24">
        <f t="shared" si="26"/>
        <v>39.26</v>
      </c>
      <c r="K300" s="24" t="s">
        <v>475</v>
      </c>
      <c r="L300" s="25">
        <f>+J300</f>
        <v>39.26</v>
      </c>
    </row>
    <row r="301" spans="1:12">
      <c r="A301" s="27">
        <v>31</v>
      </c>
      <c r="B301" s="45">
        <v>200940354</v>
      </c>
      <c r="C301" s="56" t="s">
        <v>264</v>
      </c>
      <c r="D301" s="24">
        <v>6.97</v>
      </c>
      <c r="E301" s="24">
        <v>7.16</v>
      </c>
      <c r="F301" s="24">
        <v>6.21</v>
      </c>
      <c r="G301" s="24">
        <v>7.35</v>
      </c>
      <c r="H301" s="24">
        <v>10.42</v>
      </c>
      <c r="I301" s="24">
        <v>4.5</v>
      </c>
      <c r="J301" s="24">
        <f t="shared" si="26"/>
        <v>42.61</v>
      </c>
      <c r="K301" s="24">
        <v>9.8000000000000007</v>
      </c>
      <c r="L301" s="25">
        <f t="shared" si="28"/>
        <v>52.41</v>
      </c>
    </row>
    <row r="302" spans="1:12">
      <c r="A302" s="27">
        <v>32</v>
      </c>
      <c r="B302" s="45">
        <v>200940364</v>
      </c>
      <c r="C302" s="60" t="s">
        <v>265</v>
      </c>
      <c r="D302" s="24">
        <v>6.52</v>
      </c>
      <c r="E302" s="24">
        <v>3.8</v>
      </c>
      <c r="F302" s="24">
        <v>7.27</v>
      </c>
      <c r="G302" s="24">
        <v>3</v>
      </c>
      <c r="H302" s="24">
        <v>0</v>
      </c>
      <c r="I302" s="24">
        <v>4.25</v>
      </c>
      <c r="J302" s="24">
        <f t="shared" si="26"/>
        <v>24.84</v>
      </c>
      <c r="K302" s="24" t="s">
        <v>475</v>
      </c>
      <c r="L302" s="25">
        <f>+J302</f>
        <v>24.84</v>
      </c>
    </row>
    <row r="303" spans="1:12">
      <c r="A303" s="27">
        <v>33</v>
      </c>
      <c r="B303" s="45">
        <v>200940366</v>
      </c>
      <c r="C303" s="56" t="s">
        <v>266</v>
      </c>
      <c r="D303" s="24">
        <v>11.06</v>
      </c>
      <c r="E303" s="24">
        <v>10.11</v>
      </c>
      <c r="F303" s="24">
        <v>11.76</v>
      </c>
      <c r="G303" s="24">
        <v>9.07</v>
      </c>
      <c r="H303" s="24">
        <v>10.95</v>
      </c>
      <c r="I303" s="24">
        <v>5</v>
      </c>
      <c r="J303" s="24">
        <f t="shared" si="26"/>
        <v>57.95</v>
      </c>
      <c r="K303" s="24">
        <v>11.4</v>
      </c>
      <c r="L303" s="25">
        <f t="shared" si="28"/>
        <v>69.350000000000009</v>
      </c>
    </row>
    <row r="304" spans="1:12">
      <c r="A304" s="27">
        <v>34</v>
      </c>
      <c r="B304" s="45">
        <v>200940367</v>
      </c>
      <c r="C304" s="56" t="s">
        <v>267</v>
      </c>
      <c r="D304" s="24">
        <v>9.67</v>
      </c>
      <c r="E304" s="24">
        <v>8.32</v>
      </c>
      <c r="F304" s="24">
        <v>6.15</v>
      </c>
      <c r="G304" s="24">
        <v>8.6199999999999992</v>
      </c>
      <c r="H304" s="24">
        <v>9.3000000000000007</v>
      </c>
      <c r="I304" s="24">
        <v>5</v>
      </c>
      <c r="J304" s="24">
        <f t="shared" si="26"/>
        <v>47.06</v>
      </c>
      <c r="K304" s="24">
        <v>8</v>
      </c>
      <c r="L304" s="25">
        <f t="shared" si="28"/>
        <v>55.06</v>
      </c>
    </row>
    <row r="305" spans="1:12">
      <c r="A305" s="27">
        <v>35</v>
      </c>
      <c r="B305" s="45">
        <v>200940368</v>
      </c>
      <c r="C305" s="56" t="s">
        <v>268</v>
      </c>
      <c r="D305" s="24">
        <v>12</v>
      </c>
      <c r="E305" s="24">
        <v>10.02</v>
      </c>
      <c r="F305" s="24">
        <v>11.38</v>
      </c>
      <c r="G305" s="24">
        <v>9.4499999999999993</v>
      </c>
      <c r="H305" s="24">
        <v>8.32</v>
      </c>
      <c r="I305" s="24">
        <v>5</v>
      </c>
      <c r="J305" s="24">
        <f t="shared" si="26"/>
        <v>56.17</v>
      </c>
      <c r="K305" s="24">
        <v>8.4</v>
      </c>
      <c r="L305" s="25">
        <f t="shared" si="28"/>
        <v>64.570000000000007</v>
      </c>
    </row>
    <row r="306" spans="1:12">
      <c r="A306" s="27">
        <v>36</v>
      </c>
      <c r="B306" s="45">
        <v>200940370</v>
      </c>
      <c r="C306" s="58" t="s">
        <v>269</v>
      </c>
      <c r="D306" s="24">
        <v>6.23</v>
      </c>
      <c r="E306" s="24">
        <v>5.08</v>
      </c>
      <c r="F306" s="24">
        <v>4.8099999999999996</v>
      </c>
      <c r="G306" s="24">
        <v>3</v>
      </c>
      <c r="H306" s="24">
        <v>1.5</v>
      </c>
      <c r="I306" s="24">
        <v>5</v>
      </c>
      <c r="J306" s="24">
        <f t="shared" si="26"/>
        <v>25.62</v>
      </c>
      <c r="K306" s="24" t="s">
        <v>475</v>
      </c>
      <c r="L306" s="25">
        <f>+J306</f>
        <v>25.62</v>
      </c>
    </row>
    <row r="307" spans="1:12">
      <c r="A307" s="27">
        <v>37</v>
      </c>
      <c r="B307" s="57">
        <v>200940431</v>
      </c>
      <c r="C307" s="60" t="s">
        <v>270</v>
      </c>
      <c r="D307" s="24">
        <v>11.92</v>
      </c>
      <c r="E307" s="24">
        <v>9.9499999999999993</v>
      </c>
      <c r="F307" s="24">
        <v>9.67</v>
      </c>
      <c r="G307" s="24">
        <v>8.4700000000000006</v>
      </c>
      <c r="H307" s="24">
        <v>6.82</v>
      </c>
      <c r="I307" s="24">
        <v>5</v>
      </c>
      <c r="J307" s="24">
        <f t="shared" si="26"/>
        <v>51.83</v>
      </c>
      <c r="K307" s="24">
        <v>10.6</v>
      </c>
      <c r="L307" s="25">
        <f t="shared" si="28"/>
        <v>62.43</v>
      </c>
    </row>
    <row r="308" spans="1:12">
      <c r="A308" s="27">
        <v>38</v>
      </c>
      <c r="B308" s="45">
        <v>200940435</v>
      </c>
      <c r="C308" s="60" t="s">
        <v>271</v>
      </c>
      <c r="D308" s="24">
        <v>7.72</v>
      </c>
      <c r="E308" s="24">
        <v>6.28</v>
      </c>
      <c r="F308" s="24">
        <v>5.4</v>
      </c>
      <c r="G308" s="24">
        <v>6</v>
      </c>
      <c r="H308" s="24">
        <v>11.32</v>
      </c>
      <c r="I308" s="24">
        <v>5</v>
      </c>
      <c r="J308" s="24">
        <f t="shared" si="26"/>
        <v>41.72</v>
      </c>
      <c r="K308" s="24">
        <v>5</v>
      </c>
      <c r="L308" s="25">
        <f t="shared" si="28"/>
        <v>46.72</v>
      </c>
    </row>
    <row r="309" spans="1:12">
      <c r="A309" s="27">
        <v>39</v>
      </c>
      <c r="B309" s="57">
        <v>200940488</v>
      </c>
      <c r="C309" s="60" t="s">
        <v>272</v>
      </c>
      <c r="D309" s="24">
        <v>8.17</v>
      </c>
      <c r="E309" s="24">
        <v>4.1100000000000003</v>
      </c>
      <c r="F309" s="24">
        <v>7.15</v>
      </c>
      <c r="G309" s="24">
        <v>2.7</v>
      </c>
      <c r="H309" s="24">
        <v>4.8</v>
      </c>
      <c r="I309" s="24">
        <v>5</v>
      </c>
      <c r="J309" s="24">
        <f t="shared" si="26"/>
        <v>31.93</v>
      </c>
      <c r="K309" s="24" t="s">
        <v>475</v>
      </c>
      <c r="L309" s="25">
        <f>+J309</f>
        <v>31.93</v>
      </c>
    </row>
    <row r="310" spans="1:12">
      <c r="A310" s="27">
        <v>40</v>
      </c>
      <c r="B310" s="57">
        <v>200940494</v>
      </c>
      <c r="C310" s="60" t="s">
        <v>273</v>
      </c>
      <c r="D310" s="24">
        <v>10.5</v>
      </c>
      <c r="E310" s="24">
        <v>8.49</v>
      </c>
      <c r="F310" s="24">
        <v>7.37</v>
      </c>
      <c r="G310" s="24">
        <v>4.8</v>
      </c>
      <c r="H310" s="24">
        <v>9.75</v>
      </c>
      <c r="I310" s="24">
        <v>5</v>
      </c>
      <c r="J310" s="24">
        <f t="shared" si="26"/>
        <v>45.910000000000004</v>
      </c>
      <c r="K310" s="24">
        <v>6</v>
      </c>
      <c r="L310" s="25">
        <f t="shared" si="28"/>
        <v>51.910000000000004</v>
      </c>
    </row>
    <row r="311" spans="1:12">
      <c r="A311" s="27">
        <v>41</v>
      </c>
      <c r="B311" s="45">
        <v>200940495</v>
      </c>
      <c r="C311" s="56" t="s">
        <v>274</v>
      </c>
      <c r="D311" s="24">
        <v>5.0199999999999996</v>
      </c>
      <c r="E311" s="24">
        <v>3.98</v>
      </c>
      <c r="F311" s="24">
        <v>2.58</v>
      </c>
      <c r="G311" s="24">
        <v>0</v>
      </c>
      <c r="H311" s="24">
        <v>0</v>
      </c>
      <c r="I311" s="24">
        <v>3.45</v>
      </c>
      <c r="J311" s="24">
        <f t="shared" si="26"/>
        <v>15.03</v>
      </c>
      <c r="K311" s="24" t="s">
        <v>475</v>
      </c>
      <c r="L311" s="25">
        <f>+J311</f>
        <v>15.03</v>
      </c>
    </row>
    <row r="312" spans="1:12">
      <c r="A312" s="27">
        <v>42</v>
      </c>
      <c r="B312" s="57">
        <v>200940497</v>
      </c>
      <c r="C312" s="56" t="s">
        <v>275</v>
      </c>
      <c r="D312" s="24">
        <v>6.63</v>
      </c>
      <c r="E312" s="24">
        <v>5.53</v>
      </c>
      <c r="F312" s="24">
        <v>5.07</v>
      </c>
      <c r="G312" s="24">
        <v>2.63</v>
      </c>
      <c r="H312" s="24">
        <v>0</v>
      </c>
      <c r="I312" s="24">
        <v>2.75</v>
      </c>
      <c r="J312" s="24">
        <f t="shared" si="26"/>
        <v>22.61</v>
      </c>
      <c r="K312" s="24" t="s">
        <v>475</v>
      </c>
      <c r="L312" s="25">
        <f>+J312</f>
        <v>22.61</v>
      </c>
    </row>
    <row r="313" spans="1:12">
      <c r="A313" s="27">
        <v>43</v>
      </c>
      <c r="B313" s="45">
        <v>200940507</v>
      </c>
      <c r="C313" s="58" t="s">
        <v>276</v>
      </c>
      <c r="D313" s="24">
        <v>7.68</v>
      </c>
      <c r="E313" s="24">
        <v>9.64</v>
      </c>
      <c r="F313" s="24">
        <v>10.71</v>
      </c>
      <c r="G313" s="24">
        <v>8.92</v>
      </c>
      <c r="H313" s="24">
        <v>12.15</v>
      </c>
      <c r="I313" s="24">
        <v>5</v>
      </c>
      <c r="J313" s="24">
        <f t="shared" si="26"/>
        <v>54.1</v>
      </c>
      <c r="K313" s="24">
        <v>12</v>
      </c>
      <c r="L313" s="25">
        <f t="shared" si="28"/>
        <v>66.099999999999994</v>
      </c>
    </row>
    <row r="314" spans="1:12">
      <c r="A314" s="27">
        <v>44</v>
      </c>
      <c r="B314" s="45">
        <v>200940508</v>
      </c>
      <c r="C314" s="60" t="s">
        <v>277</v>
      </c>
      <c r="D314" s="24">
        <v>8.02</v>
      </c>
      <c r="E314" s="24">
        <v>6.82</v>
      </c>
      <c r="F314" s="24">
        <v>9.5500000000000007</v>
      </c>
      <c r="G314" s="24">
        <v>3.82</v>
      </c>
      <c r="H314" s="24">
        <v>5.47</v>
      </c>
      <c r="I314" s="24">
        <v>5</v>
      </c>
      <c r="J314" s="24">
        <f t="shared" si="26"/>
        <v>38.68</v>
      </c>
      <c r="K314" s="24" t="s">
        <v>475</v>
      </c>
      <c r="L314" s="25">
        <f>+J314</f>
        <v>38.68</v>
      </c>
    </row>
    <row r="315" spans="1:12">
      <c r="A315" s="27">
        <v>45</v>
      </c>
      <c r="B315" s="45">
        <v>200940529</v>
      </c>
      <c r="C315" s="56" t="s">
        <v>278</v>
      </c>
      <c r="D315" s="24">
        <v>10.8</v>
      </c>
      <c r="E315" s="24">
        <v>11.08</v>
      </c>
      <c r="F315" s="24">
        <v>11.37</v>
      </c>
      <c r="G315" s="24">
        <v>8.33</v>
      </c>
      <c r="H315" s="24">
        <v>8.5500000000000007</v>
      </c>
      <c r="I315" s="24">
        <v>5</v>
      </c>
      <c r="J315" s="24">
        <f t="shared" si="26"/>
        <v>55.129999999999995</v>
      </c>
      <c r="K315" s="24">
        <v>9.8000000000000007</v>
      </c>
      <c r="L315" s="25">
        <f t="shared" si="28"/>
        <v>64.929999999999993</v>
      </c>
    </row>
    <row r="316" spans="1:12">
      <c r="A316" s="27">
        <v>46</v>
      </c>
      <c r="B316" s="45">
        <v>200940533</v>
      </c>
      <c r="C316" s="56" t="s">
        <v>279</v>
      </c>
      <c r="D316" s="24">
        <v>4.57</v>
      </c>
      <c r="E316" s="24">
        <v>2.48</v>
      </c>
      <c r="F316" s="24">
        <v>0</v>
      </c>
      <c r="G316" s="24">
        <v>0</v>
      </c>
      <c r="H316" s="24">
        <v>0</v>
      </c>
      <c r="I316" s="24">
        <v>0</v>
      </c>
      <c r="J316" s="24">
        <f t="shared" si="26"/>
        <v>7.0500000000000007</v>
      </c>
      <c r="K316" s="24" t="s">
        <v>475</v>
      </c>
      <c r="L316" s="25">
        <f>+J316</f>
        <v>7.0500000000000007</v>
      </c>
    </row>
    <row r="317" spans="1:12">
      <c r="A317" s="27">
        <v>47</v>
      </c>
      <c r="B317" s="57">
        <v>200941310</v>
      </c>
      <c r="C317" s="56" t="s">
        <v>280</v>
      </c>
      <c r="D317" s="24">
        <v>5.47</v>
      </c>
      <c r="E317" s="24">
        <v>5.15</v>
      </c>
      <c r="F317" s="24">
        <v>5.26</v>
      </c>
      <c r="G317" s="24">
        <v>4.13</v>
      </c>
      <c r="H317" s="24">
        <v>3.3</v>
      </c>
      <c r="I317" s="24">
        <v>5</v>
      </c>
      <c r="J317" s="24">
        <f t="shared" si="26"/>
        <v>28.309999999999995</v>
      </c>
      <c r="K317" s="24" t="s">
        <v>475</v>
      </c>
      <c r="L317" s="25">
        <f t="shared" ref="L317:L329" si="31">+J317</f>
        <v>28.309999999999995</v>
      </c>
    </row>
    <row r="318" spans="1:12">
      <c r="A318" s="27">
        <v>48</v>
      </c>
      <c r="B318" s="45">
        <v>200941429</v>
      </c>
      <c r="C318" s="56" t="s">
        <v>281</v>
      </c>
      <c r="D318" s="24">
        <v>5.92</v>
      </c>
      <c r="E318" s="24">
        <v>8.08</v>
      </c>
      <c r="F318" s="24">
        <v>4.3600000000000003</v>
      </c>
      <c r="G318" s="24">
        <v>3</v>
      </c>
      <c r="H318" s="24">
        <v>0</v>
      </c>
      <c r="I318" s="24">
        <v>4.5</v>
      </c>
      <c r="J318" s="24">
        <f t="shared" si="26"/>
        <v>25.86</v>
      </c>
      <c r="K318" s="24" t="s">
        <v>475</v>
      </c>
      <c r="L318" s="25">
        <f t="shared" si="31"/>
        <v>25.86</v>
      </c>
    </row>
    <row r="319" spans="1:12">
      <c r="A319" s="27">
        <v>49</v>
      </c>
      <c r="B319" s="45">
        <v>200941431</v>
      </c>
      <c r="C319" s="56" t="s">
        <v>282</v>
      </c>
      <c r="D319" s="24">
        <v>4.2300000000000004</v>
      </c>
      <c r="E319" s="24">
        <v>5.0599999999999996</v>
      </c>
      <c r="F319" s="24">
        <v>6.73</v>
      </c>
      <c r="G319" s="24">
        <v>3.6</v>
      </c>
      <c r="H319" s="24">
        <v>0.6</v>
      </c>
      <c r="I319" s="24">
        <v>4.5</v>
      </c>
      <c r="J319" s="24">
        <f t="shared" si="26"/>
        <v>24.72</v>
      </c>
      <c r="K319" s="24" t="s">
        <v>475</v>
      </c>
      <c r="L319" s="25">
        <f t="shared" si="31"/>
        <v>24.72</v>
      </c>
    </row>
    <row r="320" spans="1:12">
      <c r="A320" s="27">
        <v>50</v>
      </c>
      <c r="B320" s="45">
        <v>200942148</v>
      </c>
      <c r="C320" s="60" t="s">
        <v>283</v>
      </c>
      <c r="D320" s="24">
        <v>7.2</v>
      </c>
      <c r="E320" s="24">
        <v>6.37</v>
      </c>
      <c r="F320" s="24">
        <v>8.4</v>
      </c>
      <c r="G320" s="24">
        <v>3.3</v>
      </c>
      <c r="H320" s="24">
        <v>5.77</v>
      </c>
      <c r="I320" s="24">
        <v>4.5</v>
      </c>
      <c r="J320" s="24">
        <f t="shared" si="26"/>
        <v>35.54</v>
      </c>
      <c r="K320" s="24" t="s">
        <v>475</v>
      </c>
      <c r="L320" s="25">
        <f t="shared" si="31"/>
        <v>35.54</v>
      </c>
    </row>
    <row r="321" spans="1:12">
      <c r="A321" s="27">
        <v>51</v>
      </c>
      <c r="B321" s="45">
        <v>200942756</v>
      </c>
      <c r="C321" s="56" t="s">
        <v>284</v>
      </c>
      <c r="D321" s="24">
        <v>4.6500000000000004</v>
      </c>
      <c r="E321" s="24">
        <v>2.008</v>
      </c>
      <c r="F321" s="24">
        <v>5.29</v>
      </c>
      <c r="G321" s="24">
        <v>0</v>
      </c>
      <c r="H321" s="24">
        <v>0</v>
      </c>
      <c r="I321" s="24">
        <v>3</v>
      </c>
      <c r="J321" s="24">
        <f t="shared" si="26"/>
        <v>14.947999999999999</v>
      </c>
      <c r="K321" s="24" t="s">
        <v>475</v>
      </c>
      <c r="L321" s="25">
        <f t="shared" si="31"/>
        <v>14.947999999999999</v>
      </c>
    </row>
    <row r="322" spans="1:12">
      <c r="A322" s="27">
        <v>52</v>
      </c>
      <c r="B322" s="57">
        <v>200942839</v>
      </c>
      <c r="C322" s="58" t="s">
        <v>285</v>
      </c>
      <c r="D322" s="24">
        <v>5.25</v>
      </c>
      <c r="E322" s="24">
        <v>6.26</v>
      </c>
      <c r="F322" s="24">
        <v>7.42</v>
      </c>
      <c r="G322" s="24">
        <v>5.32</v>
      </c>
      <c r="H322" s="24">
        <v>8.25</v>
      </c>
      <c r="I322" s="24">
        <v>4.0999999999999996</v>
      </c>
      <c r="J322" s="24">
        <f t="shared" si="26"/>
        <v>36.6</v>
      </c>
      <c r="K322" s="24" t="s">
        <v>475</v>
      </c>
      <c r="L322" s="25">
        <f t="shared" si="31"/>
        <v>36.6</v>
      </c>
    </row>
    <row r="323" spans="1:12">
      <c r="A323" s="27">
        <v>53</v>
      </c>
      <c r="B323" s="45">
        <v>200942841</v>
      </c>
      <c r="C323" s="56" t="s">
        <v>286</v>
      </c>
      <c r="D323" s="24">
        <v>5.0999999999999996</v>
      </c>
      <c r="E323" s="24">
        <v>6.19</v>
      </c>
      <c r="F323" s="24">
        <v>6.86</v>
      </c>
      <c r="G323" s="24">
        <v>6.22</v>
      </c>
      <c r="H323" s="24">
        <v>6.82</v>
      </c>
      <c r="I323" s="24">
        <v>4.0999999999999996</v>
      </c>
      <c r="J323" s="24">
        <f t="shared" si="26"/>
        <v>35.29</v>
      </c>
      <c r="K323" s="24" t="s">
        <v>475</v>
      </c>
      <c r="L323" s="25">
        <f t="shared" si="31"/>
        <v>35.29</v>
      </c>
    </row>
    <row r="324" spans="1:12">
      <c r="A324" s="27">
        <v>54</v>
      </c>
      <c r="B324" s="37">
        <v>200943124</v>
      </c>
      <c r="C324" s="53" t="s">
        <v>364</v>
      </c>
      <c r="D324" s="24">
        <v>4.0599999999999996</v>
      </c>
      <c r="E324" s="24">
        <v>4.0599999999999996</v>
      </c>
      <c r="F324" s="24">
        <v>3.36</v>
      </c>
      <c r="G324" s="24">
        <v>0.98</v>
      </c>
      <c r="H324" s="24">
        <v>0</v>
      </c>
      <c r="I324" s="24">
        <v>4.5</v>
      </c>
      <c r="J324" s="24">
        <f t="shared" ref="J324" si="32">+I324+H324+G324+F324+E324+D324</f>
        <v>16.959999999999997</v>
      </c>
      <c r="K324" s="24" t="s">
        <v>475</v>
      </c>
      <c r="L324" s="25">
        <f t="shared" si="31"/>
        <v>16.959999999999997</v>
      </c>
    </row>
    <row r="325" spans="1:12">
      <c r="A325" s="27">
        <v>55</v>
      </c>
      <c r="B325" s="45">
        <v>200943129</v>
      </c>
      <c r="C325" s="59" t="s">
        <v>287</v>
      </c>
      <c r="D325" s="24">
        <v>5.77</v>
      </c>
      <c r="E325" s="24">
        <v>0</v>
      </c>
      <c r="F325" s="24">
        <v>2.96</v>
      </c>
      <c r="G325" s="24">
        <v>0</v>
      </c>
      <c r="H325" s="24">
        <v>0</v>
      </c>
      <c r="I325" s="24">
        <v>2.15</v>
      </c>
      <c r="J325" s="24">
        <f t="shared" si="26"/>
        <v>10.879999999999999</v>
      </c>
      <c r="K325" s="24" t="s">
        <v>475</v>
      </c>
      <c r="L325" s="25">
        <f t="shared" si="31"/>
        <v>10.879999999999999</v>
      </c>
    </row>
    <row r="326" spans="1:12">
      <c r="A326" s="27">
        <v>56</v>
      </c>
      <c r="B326" s="45">
        <v>200943311</v>
      </c>
      <c r="C326" s="56" t="s">
        <v>288</v>
      </c>
      <c r="D326" s="24">
        <v>5.4</v>
      </c>
      <c r="E326" s="24">
        <v>5.12</v>
      </c>
      <c r="F326" s="24">
        <v>3.8</v>
      </c>
      <c r="G326" s="24">
        <v>5.85</v>
      </c>
      <c r="H326" s="24">
        <v>0</v>
      </c>
      <c r="I326" s="24">
        <v>4.3499999999999996</v>
      </c>
      <c r="J326" s="24">
        <f t="shared" si="26"/>
        <v>24.520000000000003</v>
      </c>
      <c r="K326" s="24" t="s">
        <v>475</v>
      </c>
      <c r="L326" s="25">
        <f t="shared" si="31"/>
        <v>24.520000000000003</v>
      </c>
    </row>
    <row r="327" spans="1:12">
      <c r="A327" s="27">
        <v>57</v>
      </c>
      <c r="B327" s="45">
        <v>200943324</v>
      </c>
      <c r="C327" s="56" t="s">
        <v>289</v>
      </c>
      <c r="D327" s="24">
        <v>5.43</v>
      </c>
      <c r="E327" s="24">
        <v>4.8899999999999997</v>
      </c>
      <c r="F327" s="24">
        <v>5.1100000000000003</v>
      </c>
      <c r="G327" s="24">
        <v>4.3499999999999996</v>
      </c>
      <c r="H327" s="24">
        <v>0</v>
      </c>
      <c r="I327" s="24">
        <v>5</v>
      </c>
      <c r="J327" s="24">
        <f t="shared" si="26"/>
        <v>24.78</v>
      </c>
      <c r="K327" s="24" t="s">
        <v>475</v>
      </c>
      <c r="L327" s="25">
        <f t="shared" si="31"/>
        <v>24.78</v>
      </c>
    </row>
    <row r="328" spans="1:12">
      <c r="A328" s="27">
        <v>58</v>
      </c>
      <c r="B328" s="45">
        <v>200943328</v>
      </c>
      <c r="C328" s="56" t="s">
        <v>290</v>
      </c>
      <c r="D328" s="24">
        <v>5.17</v>
      </c>
      <c r="E328" s="24">
        <v>3.59</v>
      </c>
      <c r="F328" s="24">
        <v>2.95</v>
      </c>
      <c r="G328" s="24">
        <v>0.23</v>
      </c>
      <c r="H328" s="24">
        <v>0</v>
      </c>
      <c r="I328" s="24">
        <v>4</v>
      </c>
      <c r="J328" s="24">
        <f t="shared" si="26"/>
        <v>15.94</v>
      </c>
      <c r="K328" s="24" t="s">
        <v>475</v>
      </c>
      <c r="L328" s="25">
        <f t="shared" si="31"/>
        <v>15.94</v>
      </c>
    </row>
    <row r="329" spans="1:12">
      <c r="A329" s="27">
        <v>59</v>
      </c>
      <c r="B329" s="45">
        <v>200943367</v>
      </c>
      <c r="C329" s="56" t="s">
        <v>291</v>
      </c>
      <c r="D329" s="24">
        <v>3.45</v>
      </c>
      <c r="E329" s="24">
        <v>2.1800000000000002</v>
      </c>
      <c r="F329" s="24">
        <v>5.85</v>
      </c>
      <c r="G329" s="24">
        <v>2.7</v>
      </c>
      <c r="H329" s="24">
        <v>1.8</v>
      </c>
      <c r="I329" s="24">
        <v>3.1</v>
      </c>
      <c r="J329" s="24">
        <f t="shared" si="26"/>
        <v>19.079999999999998</v>
      </c>
      <c r="K329" s="24" t="s">
        <v>475</v>
      </c>
      <c r="L329" s="25">
        <f t="shared" si="31"/>
        <v>19.079999999999998</v>
      </c>
    </row>
    <row r="330" spans="1:12">
      <c r="A330" s="27">
        <v>60</v>
      </c>
      <c r="B330" s="45">
        <v>200943515</v>
      </c>
      <c r="C330" s="58" t="s">
        <v>292</v>
      </c>
      <c r="D330" s="24">
        <v>9.48</v>
      </c>
      <c r="E330" s="24">
        <v>9.61</v>
      </c>
      <c r="F330" s="24">
        <v>10.36</v>
      </c>
      <c r="G330" s="24">
        <v>10.72</v>
      </c>
      <c r="H330" s="24">
        <v>8.4</v>
      </c>
      <c r="I330" s="24">
        <v>5</v>
      </c>
      <c r="J330" s="24">
        <f t="shared" si="26"/>
        <v>53.570000000000007</v>
      </c>
      <c r="K330" s="24">
        <v>8.4</v>
      </c>
      <c r="L330" s="25">
        <f t="shared" si="28"/>
        <v>61.970000000000006</v>
      </c>
    </row>
    <row r="331" spans="1:12">
      <c r="A331" s="27">
        <v>61</v>
      </c>
      <c r="B331" s="45">
        <v>200943644</v>
      </c>
      <c r="C331" s="58" t="s">
        <v>293</v>
      </c>
      <c r="D331" s="24">
        <v>4.3499999999999996</v>
      </c>
      <c r="E331" s="24">
        <v>3.39</v>
      </c>
      <c r="F331" s="24">
        <v>3.01</v>
      </c>
      <c r="G331" s="24">
        <v>0.52</v>
      </c>
      <c r="H331" s="24">
        <v>2.4</v>
      </c>
      <c r="I331" s="24">
        <v>0</v>
      </c>
      <c r="J331" s="24">
        <f t="shared" si="26"/>
        <v>13.67</v>
      </c>
      <c r="K331" s="24" t="s">
        <v>475</v>
      </c>
      <c r="L331" s="25">
        <f>+J331</f>
        <v>13.67</v>
      </c>
    </row>
    <row r="332" spans="1:12">
      <c r="A332" s="27">
        <v>62</v>
      </c>
      <c r="B332" s="45">
        <v>200943647</v>
      </c>
      <c r="C332" s="56" t="s">
        <v>294</v>
      </c>
      <c r="D332" s="24">
        <v>7.61</v>
      </c>
      <c r="E332" s="24">
        <v>4.5</v>
      </c>
      <c r="F332" s="24">
        <v>5.5</v>
      </c>
      <c r="G332" s="24">
        <v>0</v>
      </c>
      <c r="H332" s="24">
        <v>0</v>
      </c>
      <c r="I332" s="24">
        <v>3.2</v>
      </c>
      <c r="J332" s="24">
        <f t="shared" si="26"/>
        <v>20.81</v>
      </c>
      <c r="K332" s="24" t="s">
        <v>475</v>
      </c>
      <c r="L332" s="25">
        <f t="shared" ref="L332:L337" si="33">+J332</f>
        <v>20.81</v>
      </c>
    </row>
    <row r="333" spans="1:12">
      <c r="A333" s="27">
        <v>63</v>
      </c>
      <c r="B333" s="45">
        <v>200943674</v>
      </c>
      <c r="C333" s="59" t="s">
        <v>295</v>
      </c>
      <c r="D333" s="24">
        <v>4.2300000000000004</v>
      </c>
      <c r="E333" s="24">
        <v>2.23</v>
      </c>
      <c r="F333" s="24">
        <v>2.8</v>
      </c>
      <c r="G333" s="24">
        <v>1.35</v>
      </c>
      <c r="H333" s="24">
        <v>0</v>
      </c>
      <c r="I333" s="24">
        <v>3.25</v>
      </c>
      <c r="J333" s="24">
        <f t="shared" si="26"/>
        <v>13.86</v>
      </c>
      <c r="K333" s="24" t="s">
        <v>475</v>
      </c>
      <c r="L333" s="25">
        <f t="shared" si="33"/>
        <v>13.86</v>
      </c>
    </row>
    <row r="334" spans="1:12">
      <c r="A334" s="27">
        <v>64</v>
      </c>
      <c r="B334" s="57">
        <v>200944408</v>
      </c>
      <c r="C334" s="60" t="s">
        <v>296</v>
      </c>
      <c r="D334" s="24">
        <v>7.76</v>
      </c>
      <c r="E334" s="24">
        <v>7.96</v>
      </c>
      <c r="F334" s="24">
        <v>7.38</v>
      </c>
      <c r="G334" s="24">
        <v>4.95</v>
      </c>
      <c r="H334" s="24">
        <v>0</v>
      </c>
      <c r="I334" s="24">
        <v>3.35</v>
      </c>
      <c r="J334" s="24">
        <f t="shared" si="26"/>
        <v>31.4</v>
      </c>
      <c r="K334" s="24" t="s">
        <v>475</v>
      </c>
      <c r="L334" s="25">
        <f t="shared" si="33"/>
        <v>31.4</v>
      </c>
    </row>
    <row r="335" spans="1:12">
      <c r="A335" s="27">
        <v>65</v>
      </c>
      <c r="B335" s="57">
        <v>200945537</v>
      </c>
      <c r="C335" s="60" t="s">
        <v>297</v>
      </c>
      <c r="D335" s="24">
        <v>2.77</v>
      </c>
      <c r="E335" s="24">
        <v>0</v>
      </c>
      <c r="F335" s="24">
        <v>0</v>
      </c>
      <c r="G335" s="24">
        <v>0</v>
      </c>
      <c r="H335" s="24">
        <v>0</v>
      </c>
      <c r="I335" s="24">
        <v>1</v>
      </c>
      <c r="J335" s="24">
        <f t="shared" si="26"/>
        <v>3.77</v>
      </c>
      <c r="K335" s="24" t="s">
        <v>475</v>
      </c>
      <c r="L335" s="25">
        <f t="shared" si="33"/>
        <v>3.77</v>
      </c>
    </row>
    <row r="336" spans="1:12">
      <c r="A336" s="27">
        <v>66</v>
      </c>
      <c r="B336" s="57">
        <v>200946029</v>
      </c>
      <c r="C336" s="60" t="s">
        <v>298</v>
      </c>
      <c r="D336" s="24">
        <v>6.33</v>
      </c>
      <c r="E336" s="24">
        <v>6.18</v>
      </c>
      <c r="F336" s="24">
        <v>5.22</v>
      </c>
      <c r="G336" s="24">
        <v>8.92</v>
      </c>
      <c r="H336" s="24">
        <v>9.68</v>
      </c>
      <c r="I336" s="24">
        <v>4.25</v>
      </c>
      <c r="J336" s="24">
        <f t="shared" si="26"/>
        <v>40.58</v>
      </c>
      <c r="K336" s="24" t="s">
        <v>475</v>
      </c>
      <c r="L336" s="25">
        <f t="shared" si="33"/>
        <v>40.58</v>
      </c>
    </row>
    <row r="337" spans="1:12">
      <c r="A337" s="27">
        <v>67</v>
      </c>
      <c r="B337" s="45">
        <v>200946037</v>
      </c>
      <c r="C337" s="60" t="s">
        <v>299</v>
      </c>
      <c r="D337" s="24">
        <v>6</v>
      </c>
      <c r="E337" s="24">
        <v>5.28</v>
      </c>
      <c r="F337" s="24">
        <v>4.12</v>
      </c>
      <c r="G337" s="24">
        <v>0.67</v>
      </c>
      <c r="H337" s="24">
        <v>0</v>
      </c>
      <c r="I337" s="24">
        <v>3.25</v>
      </c>
      <c r="J337" s="24">
        <f t="shared" ref="J337" si="34">+I337+H337+G337+F337+E337+D337</f>
        <v>19.32</v>
      </c>
      <c r="K337" s="24" t="s">
        <v>475</v>
      </c>
      <c r="L337" s="25">
        <f t="shared" si="33"/>
        <v>19.32</v>
      </c>
    </row>
    <row r="338" spans="1:12">
      <c r="A338" s="29"/>
      <c r="B338" s="29"/>
      <c r="C338" s="30"/>
      <c r="D338" s="31"/>
      <c r="E338" s="31"/>
      <c r="F338" s="31"/>
      <c r="G338" s="31"/>
      <c r="H338" s="31"/>
      <c r="I338" s="31"/>
      <c r="J338" s="31"/>
      <c r="K338" s="31"/>
      <c r="L338" s="32"/>
    </row>
    <row r="339" spans="1:12" ht="17.25" thickBot="1">
      <c r="A339" s="29"/>
      <c r="B339" s="29"/>
      <c r="C339" s="30"/>
      <c r="D339" s="31"/>
      <c r="E339" s="31"/>
      <c r="F339" s="31"/>
      <c r="G339" s="31"/>
      <c r="H339" s="35"/>
      <c r="I339" s="35"/>
      <c r="J339" s="35"/>
      <c r="K339" s="31"/>
      <c r="L339" s="32"/>
    </row>
    <row r="340" spans="1:12">
      <c r="H340" s="100" t="s">
        <v>96</v>
      </c>
      <c r="I340" s="100"/>
      <c r="J340" s="100"/>
      <c r="L340" s="1"/>
    </row>
    <row r="341" spans="1:12">
      <c r="D341" s="36"/>
      <c r="H341" s="100" t="s">
        <v>21</v>
      </c>
      <c r="I341" s="100"/>
      <c r="J341" s="100"/>
      <c r="L341" s="1"/>
    </row>
    <row r="342" spans="1:12">
      <c r="D342" s="36"/>
      <c r="H342" s="100" t="s">
        <v>97</v>
      </c>
      <c r="I342" s="100"/>
      <c r="J342" s="100"/>
      <c r="L342" s="1"/>
    </row>
    <row r="343" spans="1:12">
      <c r="D343" s="36"/>
      <c r="H343" s="75"/>
      <c r="I343" s="75"/>
      <c r="J343" s="75"/>
      <c r="L343" s="1"/>
    </row>
    <row r="345" spans="1:12" ht="17.25" thickBot="1">
      <c r="A345" s="1" t="s">
        <v>0</v>
      </c>
      <c r="I345" s="3"/>
    </row>
    <row r="346" spans="1:12">
      <c r="A346" s="1" t="s">
        <v>1</v>
      </c>
      <c r="F346" s="4"/>
      <c r="G346" s="5"/>
      <c r="H346" s="6"/>
      <c r="I346" s="7"/>
    </row>
    <row r="347" spans="1:12">
      <c r="A347" s="8" t="s">
        <v>2</v>
      </c>
      <c r="B347" s="9"/>
      <c r="E347" s="7"/>
      <c r="F347" s="10"/>
      <c r="G347" s="11"/>
      <c r="H347" s="12"/>
      <c r="I347" s="7"/>
    </row>
    <row r="348" spans="1:12" ht="17.25" thickBot="1">
      <c r="A348" s="13" t="s">
        <v>3</v>
      </c>
      <c r="B348" s="9"/>
      <c r="E348" s="7"/>
      <c r="F348" s="10"/>
      <c r="G348" s="11"/>
      <c r="H348" s="12"/>
      <c r="I348" s="7"/>
    </row>
    <row r="349" spans="1:12" ht="17.25" thickBot="1">
      <c r="A349" s="14" t="s">
        <v>22</v>
      </c>
      <c r="B349" s="15"/>
      <c r="C349" s="16"/>
      <c r="E349" s="7"/>
      <c r="F349" s="17"/>
      <c r="G349" s="18"/>
      <c r="H349" s="19"/>
      <c r="I349" s="7"/>
    </row>
    <row r="350" spans="1:12">
      <c r="A350" s="8"/>
      <c r="B350" s="9"/>
      <c r="E350" s="7"/>
      <c r="I350" s="3"/>
    </row>
    <row r="351" spans="1:12">
      <c r="A351" s="1" t="s">
        <v>91</v>
      </c>
      <c r="B351" s="9"/>
      <c r="C351" s="20" t="s">
        <v>365</v>
      </c>
      <c r="E351" s="7"/>
      <c r="I351" s="3"/>
    </row>
    <row r="352" spans="1:12">
      <c r="A352" s="1" t="s">
        <v>4</v>
      </c>
      <c r="C352" s="20" t="s">
        <v>98</v>
      </c>
      <c r="I352" s="3"/>
    </row>
    <row r="353" spans="1:12">
      <c r="A353" s="1" t="s">
        <v>5</v>
      </c>
      <c r="C353" s="20" t="s">
        <v>23</v>
      </c>
    </row>
    <row r="354" spans="1:12">
      <c r="A354" s="21"/>
      <c r="B354" s="21"/>
      <c r="C354" s="21"/>
      <c r="D354" s="21"/>
      <c r="E354" s="21"/>
      <c r="F354" s="21"/>
      <c r="G354" s="21"/>
      <c r="H354" s="21"/>
      <c r="I354" s="21"/>
      <c r="J354" s="21"/>
    </row>
    <row r="355" spans="1:12">
      <c r="A355" s="1"/>
      <c r="C355" s="22" t="s">
        <v>6</v>
      </c>
      <c r="D355" s="22" t="s">
        <v>93</v>
      </c>
      <c r="E355" s="22" t="s">
        <v>93</v>
      </c>
      <c r="F355" s="22" t="s">
        <v>93</v>
      </c>
      <c r="G355" s="22" t="s">
        <v>93</v>
      </c>
      <c r="H355" s="22" t="s">
        <v>93</v>
      </c>
      <c r="I355" s="22" t="s">
        <v>94</v>
      </c>
      <c r="J355" s="22" t="s">
        <v>8</v>
      </c>
      <c r="K355" s="22" t="s">
        <v>7</v>
      </c>
      <c r="L355" s="22" t="s">
        <v>9</v>
      </c>
    </row>
    <row r="356" spans="1:12">
      <c r="A356" s="22" t="s">
        <v>10</v>
      </c>
      <c r="B356" s="22" t="s">
        <v>11</v>
      </c>
      <c r="C356" s="22" t="s">
        <v>12</v>
      </c>
      <c r="D356" s="22" t="s">
        <v>13</v>
      </c>
      <c r="E356" s="22" t="s">
        <v>14</v>
      </c>
      <c r="F356" s="22" t="s">
        <v>15</v>
      </c>
      <c r="G356" s="22" t="s">
        <v>16</v>
      </c>
      <c r="H356" s="22" t="s">
        <v>17</v>
      </c>
      <c r="I356" s="22" t="s">
        <v>95</v>
      </c>
      <c r="J356" s="22" t="s">
        <v>18</v>
      </c>
      <c r="K356" s="22" t="s">
        <v>19</v>
      </c>
      <c r="L356" s="22" t="s">
        <v>20</v>
      </c>
    </row>
    <row r="357" spans="1:12">
      <c r="A357" s="23">
        <v>1</v>
      </c>
      <c r="B357" s="45">
        <v>200741821</v>
      </c>
      <c r="C357" s="56" t="s">
        <v>366</v>
      </c>
      <c r="D357" s="24">
        <v>10.91</v>
      </c>
      <c r="E357" s="24">
        <v>8.41</v>
      </c>
      <c r="F357" s="24">
        <v>9.8699999999999992</v>
      </c>
      <c r="G357" s="24">
        <v>11.62</v>
      </c>
      <c r="H357" s="24">
        <v>11.17</v>
      </c>
      <c r="I357" s="24">
        <v>5</v>
      </c>
      <c r="J357" s="24">
        <f>+I357+H357+G357+F357+E357+D357</f>
        <v>56.97999999999999</v>
      </c>
      <c r="K357" s="24">
        <v>10.199999999999999</v>
      </c>
      <c r="L357" s="25">
        <f>+K357+J357</f>
        <v>67.179999999999993</v>
      </c>
    </row>
    <row r="358" spans="1:12">
      <c r="A358" s="26">
        <v>2</v>
      </c>
      <c r="B358" s="45">
        <v>200741835</v>
      </c>
      <c r="C358" s="56" t="s">
        <v>367</v>
      </c>
      <c r="D358" s="24">
        <v>11.55</v>
      </c>
      <c r="E358" s="24">
        <v>10.77</v>
      </c>
      <c r="F358" s="24">
        <v>10.119999999999999</v>
      </c>
      <c r="G358" s="24">
        <v>9</v>
      </c>
      <c r="H358" s="24">
        <v>8.6999999999999993</v>
      </c>
      <c r="I358" s="24">
        <v>4.9000000000000004</v>
      </c>
      <c r="J358" s="24">
        <f t="shared" ref="J358:J416" si="35">+I358+H358+G358+F358+E358+D358</f>
        <v>55.039999999999992</v>
      </c>
      <c r="K358" s="24">
        <v>10</v>
      </c>
      <c r="L358" s="25">
        <f t="shared" ref="L358:L412" si="36">+K358+J358</f>
        <v>65.039999999999992</v>
      </c>
    </row>
    <row r="359" spans="1:12">
      <c r="A359" s="27">
        <v>3</v>
      </c>
      <c r="B359" s="45">
        <v>200742536</v>
      </c>
      <c r="C359" s="56" t="s">
        <v>368</v>
      </c>
      <c r="D359" s="24">
        <v>5.92</v>
      </c>
      <c r="E359" s="24">
        <v>6.07</v>
      </c>
      <c r="F359" s="24">
        <v>6.21</v>
      </c>
      <c r="G359" s="24">
        <v>3.52</v>
      </c>
      <c r="H359" s="24">
        <v>0</v>
      </c>
      <c r="I359" s="24">
        <v>1.2</v>
      </c>
      <c r="J359" s="24">
        <f t="shared" si="35"/>
        <v>22.92</v>
      </c>
      <c r="K359" s="24" t="s">
        <v>475</v>
      </c>
      <c r="L359" s="25">
        <v>22.92</v>
      </c>
    </row>
    <row r="360" spans="1:12">
      <c r="A360" s="26">
        <v>4</v>
      </c>
      <c r="B360" s="45">
        <v>200742791</v>
      </c>
      <c r="C360" s="56" t="s">
        <v>369</v>
      </c>
      <c r="D360" s="24">
        <v>12.67</v>
      </c>
      <c r="E360" s="24">
        <v>10.45</v>
      </c>
      <c r="F360" s="24">
        <v>11.43</v>
      </c>
      <c r="G360" s="24">
        <v>9.15</v>
      </c>
      <c r="H360" s="24">
        <v>8.25</v>
      </c>
      <c r="I360" s="24">
        <v>4.45</v>
      </c>
      <c r="J360" s="24">
        <f t="shared" si="35"/>
        <v>56.400000000000006</v>
      </c>
      <c r="K360" s="24">
        <v>7.6</v>
      </c>
      <c r="L360" s="25">
        <f t="shared" si="36"/>
        <v>64</v>
      </c>
    </row>
    <row r="361" spans="1:12">
      <c r="A361" s="26">
        <v>5</v>
      </c>
      <c r="B361" s="45">
        <v>200742795</v>
      </c>
      <c r="C361" s="56" t="s">
        <v>370</v>
      </c>
      <c r="D361" s="24">
        <v>7.42</v>
      </c>
      <c r="E361" s="24">
        <v>3.39</v>
      </c>
      <c r="F361" s="24">
        <v>4.46</v>
      </c>
      <c r="G361" s="24">
        <v>3.9</v>
      </c>
      <c r="H361" s="24">
        <v>0</v>
      </c>
      <c r="I361" s="24">
        <v>4</v>
      </c>
      <c r="J361" s="24">
        <f t="shared" si="35"/>
        <v>23.17</v>
      </c>
      <c r="K361" s="24" t="s">
        <v>475</v>
      </c>
      <c r="L361" s="25">
        <f>+J361</f>
        <v>23.17</v>
      </c>
    </row>
    <row r="362" spans="1:12">
      <c r="A362" s="26">
        <v>6</v>
      </c>
      <c r="B362" s="45">
        <v>200840057</v>
      </c>
      <c r="C362" s="56" t="s">
        <v>371</v>
      </c>
      <c r="D362" s="24">
        <v>4.2</v>
      </c>
      <c r="E362" s="24">
        <v>3.35</v>
      </c>
      <c r="F362" s="24">
        <v>4.08</v>
      </c>
      <c r="G362" s="24">
        <v>0</v>
      </c>
      <c r="H362" s="24">
        <v>0</v>
      </c>
      <c r="I362" s="24">
        <v>1.8</v>
      </c>
      <c r="J362" s="24">
        <f t="shared" si="35"/>
        <v>13.43</v>
      </c>
      <c r="K362" s="24" t="s">
        <v>475</v>
      </c>
      <c r="L362" s="25">
        <f t="shared" ref="L362:L366" si="37">+J362</f>
        <v>13.43</v>
      </c>
    </row>
    <row r="363" spans="1:12">
      <c r="A363" s="26">
        <v>7</v>
      </c>
      <c r="B363" s="45">
        <v>200840063</v>
      </c>
      <c r="C363" s="56" t="s">
        <v>372</v>
      </c>
      <c r="D363" s="24">
        <v>9.7799999999999994</v>
      </c>
      <c r="E363" s="24">
        <v>6.58</v>
      </c>
      <c r="F363" s="24">
        <v>6.58</v>
      </c>
      <c r="G363" s="24">
        <v>2.1</v>
      </c>
      <c r="H363" s="24">
        <v>0</v>
      </c>
      <c r="I363" s="24">
        <v>3.75</v>
      </c>
      <c r="J363" s="24">
        <f t="shared" si="35"/>
        <v>28.79</v>
      </c>
      <c r="K363" s="24" t="s">
        <v>475</v>
      </c>
      <c r="L363" s="25">
        <f t="shared" si="37"/>
        <v>28.79</v>
      </c>
    </row>
    <row r="364" spans="1:12">
      <c r="A364" s="26">
        <v>8</v>
      </c>
      <c r="B364" s="45">
        <v>200840082</v>
      </c>
      <c r="C364" s="56" t="s">
        <v>373</v>
      </c>
      <c r="D364" s="24">
        <v>3.82</v>
      </c>
      <c r="E364" s="24">
        <v>2.06</v>
      </c>
      <c r="F364" s="24">
        <v>4.6900000000000004</v>
      </c>
      <c r="G364" s="24">
        <v>3.45</v>
      </c>
      <c r="H364" s="24">
        <v>0</v>
      </c>
      <c r="I364" s="24">
        <v>3.9</v>
      </c>
      <c r="J364" s="24">
        <f t="shared" si="35"/>
        <v>17.919999999999998</v>
      </c>
      <c r="K364" s="24" t="s">
        <v>475</v>
      </c>
      <c r="L364" s="25">
        <f t="shared" si="37"/>
        <v>17.919999999999998</v>
      </c>
    </row>
    <row r="365" spans="1:12">
      <c r="A365" s="26">
        <v>9</v>
      </c>
      <c r="B365" s="45">
        <v>200840117</v>
      </c>
      <c r="C365" s="56" t="s">
        <v>374</v>
      </c>
      <c r="D365" s="24">
        <v>5.32</v>
      </c>
      <c r="E365" s="24">
        <v>4.07</v>
      </c>
      <c r="F365" s="24">
        <v>4.4000000000000004</v>
      </c>
      <c r="G365" s="24">
        <v>0</v>
      </c>
      <c r="H365" s="24">
        <v>0</v>
      </c>
      <c r="I365" s="24">
        <v>2.75</v>
      </c>
      <c r="J365" s="24">
        <f t="shared" si="35"/>
        <v>16.54</v>
      </c>
      <c r="K365" s="24" t="s">
        <v>475</v>
      </c>
      <c r="L365" s="25">
        <f t="shared" si="37"/>
        <v>16.54</v>
      </c>
    </row>
    <row r="366" spans="1:12">
      <c r="A366" s="26">
        <v>10</v>
      </c>
      <c r="B366" s="45">
        <v>200840139</v>
      </c>
      <c r="C366" s="56" t="s">
        <v>375</v>
      </c>
      <c r="D366" s="24">
        <v>9.18</v>
      </c>
      <c r="E366" s="24">
        <v>0</v>
      </c>
      <c r="F366" s="24">
        <v>0</v>
      </c>
      <c r="G366" s="24">
        <v>0</v>
      </c>
      <c r="H366" s="24">
        <v>0</v>
      </c>
      <c r="I366" s="24">
        <v>0</v>
      </c>
      <c r="J366" s="24">
        <f t="shared" si="35"/>
        <v>9.18</v>
      </c>
      <c r="K366" s="24" t="s">
        <v>475</v>
      </c>
      <c r="L366" s="25">
        <f t="shared" si="37"/>
        <v>9.18</v>
      </c>
    </row>
    <row r="367" spans="1:12">
      <c r="A367" s="26">
        <v>11</v>
      </c>
      <c r="B367" s="45">
        <v>200840149</v>
      </c>
      <c r="C367" s="60" t="s">
        <v>376</v>
      </c>
      <c r="D367" s="24">
        <v>12.56</v>
      </c>
      <c r="E367" s="24">
        <v>9.7100000000000009</v>
      </c>
      <c r="F367" s="24">
        <v>11.85</v>
      </c>
      <c r="G367" s="24">
        <v>11.25</v>
      </c>
      <c r="H367" s="28">
        <v>12.6</v>
      </c>
      <c r="I367" s="28">
        <v>4.0999999999999996</v>
      </c>
      <c r="J367" s="24">
        <f t="shared" si="35"/>
        <v>62.07</v>
      </c>
      <c r="K367" s="24">
        <v>11.8</v>
      </c>
      <c r="L367" s="25">
        <f t="shared" si="36"/>
        <v>73.87</v>
      </c>
    </row>
    <row r="368" spans="1:12">
      <c r="A368" s="26">
        <v>12</v>
      </c>
      <c r="B368" s="45">
        <v>200840178</v>
      </c>
      <c r="C368" s="60" t="s">
        <v>377</v>
      </c>
      <c r="D368" s="24">
        <v>8.36</v>
      </c>
      <c r="E368" s="24">
        <v>4.47</v>
      </c>
      <c r="F368" s="24">
        <v>7.19</v>
      </c>
      <c r="G368" s="24">
        <v>6.97</v>
      </c>
      <c r="H368" s="28">
        <v>5.7</v>
      </c>
      <c r="I368" s="28">
        <v>5</v>
      </c>
      <c r="J368" s="24">
        <f t="shared" si="35"/>
        <v>37.69</v>
      </c>
      <c r="K368" s="24" t="s">
        <v>475</v>
      </c>
      <c r="L368" s="25">
        <f>+J368</f>
        <v>37.69</v>
      </c>
    </row>
    <row r="369" spans="1:12">
      <c r="A369" s="26">
        <v>13</v>
      </c>
      <c r="B369" s="45">
        <v>200840181</v>
      </c>
      <c r="C369" s="56" t="s">
        <v>378</v>
      </c>
      <c r="D369" s="24">
        <v>12.33</v>
      </c>
      <c r="E369" s="24">
        <v>11.92</v>
      </c>
      <c r="F369" s="24">
        <v>13.36</v>
      </c>
      <c r="G369" s="24">
        <v>11.25</v>
      </c>
      <c r="H369" s="28">
        <v>12.52</v>
      </c>
      <c r="I369" s="28">
        <v>4.8</v>
      </c>
      <c r="J369" s="24">
        <f t="shared" si="35"/>
        <v>66.180000000000007</v>
      </c>
      <c r="K369" s="24">
        <v>14.8</v>
      </c>
      <c r="L369" s="25">
        <f t="shared" si="36"/>
        <v>80.98</v>
      </c>
    </row>
    <row r="370" spans="1:12">
      <c r="A370" s="23">
        <v>14</v>
      </c>
      <c r="B370" s="45">
        <v>200840190</v>
      </c>
      <c r="C370" s="56" t="s">
        <v>379</v>
      </c>
      <c r="D370" s="24">
        <v>7.68</v>
      </c>
      <c r="E370" s="24">
        <v>4.7729999999999997</v>
      </c>
      <c r="F370" s="24">
        <v>4.68</v>
      </c>
      <c r="G370" s="24">
        <v>0</v>
      </c>
      <c r="H370" s="28">
        <v>0</v>
      </c>
      <c r="I370" s="28">
        <v>3.85</v>
      </c>
      <c r="J370" s="24">
        <f t="shared" si="35"/>
        <v>20.982999999999997</v>
      </c>
      <c r="K370" s="24" t="s">
        <v>475</v>
      </c>
      <c r="L370" s="25">
        <f>+J370</f>
        <v>20.982999999999997</v>
      </c>
    </row>
    <row r="371" spans="1:12">
      <c r="A371" s="23">
        <v>15</v>
      </c>
      <c r="B371" s="45">
        <v>200840194</v>
      </c>
      <c r="C371" s="56" t="s">
        <v>380</v>
      </c>
      <c r="D371" s="24">
        <v>9.6</v>
      </c>
      <c r="E371" s="24">
        <v>9.1999999999999993</v>
      </c>
      <c r="F371" s="24">
        <v>8.33</v>
      </c>
      <c r="G371" s="24">
        <v>12.52</v>
      </c>
      <c r="H371" s="24">
        <v>11.55</v>
      </c>
      <c r="I371" s="24">
        <v>4.25</v>
      </c>
      <c r="J371" s="24">
        <f t="shared" si="35"/>
        <v>55.449999999999996</v>
      </c>
      <c r="K371" s="24">
        <v>9.6</v>
      </c>
      <c r="L371" s="25">
        <f t="shared" si="36"/>
        <v>65.05</v>
      </c>
    </row>
    <row r="372" spans="1:12">
      <c r="A372" s="23">
        <v>16</v>
      </c>
      <c r="B372" s="45">
        <v>200840222</v>
      </c>
      <c r="C372" s="56" t="s">
        <v>381</v>
      </c>
      <c r="D372" s="24">
        <v>8.25</v>
      </c>
      <c r="E372" s="24">
        <v>8.9600000000000009</v>
      </c>
      <c r="F372" s="24">
        <v>7.25</v>
      </c>
      <c r="G372" s="24">
        <v>9.15</v>
      </c>
      <c r="H372" s="24">
        <v>11.85</v>
      </c>
      <c r="I372" s="24">
        <v>4.9000000000000004</v>
      </c>
      <c r="J372" s="24">
        <f t="shared" si="35"/>
        <v>50.36</v>
      </c>
      <c r="K372" s="24">
        <v>11</v>
      </c>
      <c r="L372" s="25">
        <f t="shared" si="36"/>
        <v>61.36</v>
      </c>
    </row>
    <row r="373" spans="1:12">
      <c r="A373" s="23">
        <v>17</v>
      </c>
      <c r="B373" s="45">
        <v>200840256</v>
      </c>
      <c r="C373" s="56" t="s">
        <v>382</v>
      </c>
      <c r="D373" s="24">
        <v>11.88</v>
      </c>
      <c r="E373" s="24">
        <v>11.79</v>
      </c>
      <c r="F373" s="24">
        <v>12.51</v>
      </c>
      <c r="G373" s="24">
        <v>9.75</v>
      </c>
      <c r="H373" s="24">
        <v>12</v>
      </c>
      <c r="I373" s="24">
        <v>4.8</v>
      </c>
      <c r="J373" s="24">
        <f t="shared" si="35"/>
        <v>62.730000000000004</v>
      </c>
      <c r="K373" s="24">
        <v>13.6</v>
      </c>
      <c r="L373" s="25">
        <f t="shared" si="36"/>
        <v>76.33</v>
      </c>
    </row>
    <row r="374" spans="1:12">
      <c r="A374" s="27">
        <v>18</v>
      </c>
      <c r="B374" s="45">
        <v>200842080</v>
      </c>
      <c r="C374" s="56" t="s">
        <v>383</v>
      </c>
      <c r="D374" s="24">
        <v>7.5</v>
      </c>
      <c r="E374" s="24">
        <v>8.49</v>
      </c>
      <c r="F374" s="24">
        <v>6.8</v>
      </c>
      <c r="G374" s="24">
        <v>7.35</v>
      </c>
      <c r="H374" s="24">
        <v>7.27</v>
      </c>
      <c r="I374" s="24">
        <v>5</v>
      </c>
      <c r="J374" s="24">
        <f t="shared" si="35"/>
        <v>42.41</v>
      </c>
      <c r="K374" s="24">
        <v>8.4</v>
      </c>
      <c r="L374" s="25">
        <f t="shared" si="36"/>
        <v>50.809999999999995</v>
      </c>
    </row>
    <row r="375" spans="1:12">
      <c r="A375" s="27">
        <v>19</v>
      </c>
      <c r="B375" s="45">
        <v>200842122</v>
      </c>
      <c r="C375" s="60" t="s">
        <v>384</v>
      </c>
      <c r="D375" s="24">
        <v>3</v>
      </c>
      <c r="E375" s="24">
        <v>5.91</v>
      </c>
      <c r="F375" s="24">
        <v>3.27</v>
      </c>
      <c r="G375" s="24">
        <v>7.57</v>
      </c>
      <c r="H375" s="24">
        <v>3.37</v>
      </c>
      <c r="I375" s="24">
        <v>4.0999999999999996</v>
      </c>
      <c r="J375" s="24">
        <f t="shared" si="35"/>
        <v>27.22</v>
      </c>
      <c r="K375" s="24" t="s">
        <v>475</v>
      </c>
      <c r="L375" s="25">
        <f>+J375</f>
        <v>27.22</v>
      </c>
    </row>
    <row r="376" spans="1:12">
      <c r="A376" s="27">
        <v>20</v>
      </c>
      <c r="B376" s="45">
        <v>200842241</v>
      </c>
      <c r="C376" s="56" t="s">
        <v>385</v>
      </c>
      <c r="D376" s="24">
        <v>7.68</v>
      </c>
      <c r="E376" s="24">
        <v>5.76</v>
      </c>
      <c r="F376" s="24">
        <f>G376</f>
        <v>3.3</v>
      </c>
      <c r="G376" s="24">
        <v>3.3</v>
      </c>
      <c r="H376" s="24">
        <v>0</v>
      </c>
      <c r="I376" s="24">
        <v>4.3499999999999996</v>
      </c>
      <c r="J376" s="24">
        <f t="shared" si="35"/>
        <v>24.39</v>
      </c>
      <c r="K376" s="24" t="s">
        <v>475</v>
      </c>
      <c r="L376" s="25">
        <f t="shared" ref="L376:L377" si="38">+J376</f>
        <v>24.39</v>
      </c>
    </row>
    <row r="377" spans="1:12">
      <c r="A377" s="27">
        <v>21</v>
      </c>
      <c r="B377" s="45">
        <v>200842422</v>
      </c>
      <c r="C377" s="56" t="s">
        <v>386</v>
      </c>
      <c r="D377" s="24">
        <v>7.24</v>
      </c>
      <c r="E377" s="24">
        <v>5.89</v>
      </c>
      <c r="F377" s="24">
        <v>5.89</v>
      </c>
      <c r="G377" s="24">
        <v>2.25</v>
      </c>
      <c r="H377" s="24">
        <v>0</v>
      </c>
      <c r="I377" s="24">
        <v>3.5</v>
      </c>
      <c r="J377" s="24">
        <f t="shared" si="35"/>
        <v>24.770000000000003</v>
      </c>
      <c r="K377" s="24" t="s">
        <v>475</v>
      </c>
      <c r="L377" s="25">
        <f t="shared" si="38"/>
        <v>24.770000000000003</v>
      </c>
    </row>
    <row r="378" spans="1:12">
      <c r="A378" s="27">
        <v>22</v>
      </c>
      <c r="B378" s="45">
        <v>200842445</v>
      </c>
      <c r="C378" s="56" t="s">
        <v>387</v>
      </c>
      <c r="D378" s="24">
        <v>12.26</v>
      </c>
      <c r="E378" s="24">
        <v>11.64</v>
      </c>
      <c r="F378" s="24">
        <v>9.9</v>
      </c>
      <c r="G378" s="24">
        <v>10.27</v>
      </c>
      <c r="H378" s="24">
        <v>6.6</v>
      </c>
      <c r="I378" s="24">
        <v>4.8</v>
      </c>
      <c r="J378" s="24">
        <f t="shared" si="35"/>
        <v>55.47</v>
      </c>
      <c r="K378" s="24">
        <v>8.4</v>
      </c>
      <c r="L378" s="25">
        <f t="shared" si="36"/>
        <v>63.87</v>
      </c>
    </row>
    <row r="379" spans="1:12">
      <c r="A379" s="27">
        <v>23</v>
      </c>
      <c r="B379" s="45">
        <v>200842701</v>
      </c>
      <c r="C379" s="56" t="s">
        <v>388</v>
      </c>
      <c r="D379" s="24">
        <v>7.31</v>
      </c>
      <c r="E379" s="24">
        <v>4.5599999999999996</v>
      </c>
      <c r="F379" s="24">
        <v>0</v>
      </c>
      <c r="G379" s="24">
        <v>0</v>
      </c>
      <c r="H379" s="24">
        <v>0</v>
      </c>
      <c r="I379" s="24">
        <v>2.15</v>
      </c>
      <c r="J379" s="24">
        <f t="shared" si="35"/>
        <v>14.02</v>
      </c>
      <c r="K379" s="24" t="s">
        <v>475</v>
      </c>
      <c r="L379" s="25">
        <f>+J379</f>
        <v>14.02</v>
      </c>
    </row>
    <row r="380" spans="1:12">
      <c r="A380" s="27">
        <v>24</v>
      </c>
      <c r="B380" s="45">
        <v>200843354</v>
      </c>
      <c r="C380" s="59" t="s">
        <v>389</v>
      </c>
      <c r="D380" s="24">
        <v>5.25</v>
      </c>
      <c r="E380" s="24">
        <v>4.29</v>
      </c>
      <c r="F380" s="24">
        <v>4.6900000000000004</v>
      </c>
      <c r="G380" s="24">
        <v>2.92</v>
      </c>
      <c r="H380" s="24">
        <v>0</v>
      </c>
      <c r="I380" s="24">
        <v>3.9</v>
      </c>
      <c r="J380" s="24">
        <f t="shared" si="35"/>
        <v>21.05</v>
      </c>
      <c r="K380" s="24" t="s">
        <v>475</v>
      </c>
      <c r="L380" s="25">
        <f t="shared" ref="L380:L381" si="39">+J380</f>
        <v>21.05</v>
      </c>
    </row>
    <row r="381" spans="1:12">
      <c r="A381" s="27">
        <v>25</v>
      </c>
      <c r="B381" s="45">
        <v>200843490</v>
      </c>
      <c r="C381" s="56" t="s">
        <v>390</v>
      </c>
      <c r="D381" s="24">
        <v>8.43</v>
      </c>
      <c r="E381" s="24">
        <v>5.75</v>
      </c>
      <c r="F381" s="24">
        <v>0</v>
      </c>
      <c r="G381" s="24">
        <v>0</v>
      </c>
      <c r="H381" s="24">
        <v>0</v>
      </c>
      <c r="I381" s="24">
        <v>2.15</v>
      </c>
      <c r="J381" s="24">
        <f t="shared" si="35"/>
        <v>16.329999999999998</v>
      </c>
      <c r="K381" s="24" t="s">
        <v>475</v>
      </c>
      <c r="L381" s="25">
        <f t="shared" si="39"/>
        <v>16.329999999999998</v>
      </c>
    </row>
    <row r="382" spans="1:12">
      <c r="A382" s="27">
        <v>26</v>
      </c>
      <c r="B382" s="45">
        <v>200880018</v>
      </c>
      <c r="C382" s="60" t="s">
        <v>391</v>
      </c>
      <c r="D382" s="24">
        <v>10.95</v>
      </c>
      <c r="E382" s="24">
        <v>12.08</v>
      </c>
      <c r="F382" s="24">
        <v>11.04</v>
      </c>
      <c r="G382" s="24">
        <v>8.17</v>
      </c>
      <c r="H382" s="24">
        <v>11.55</v>
      </c>
      <c r="I382" s="24">
        <v>4.8</v>
      </c>
      <c r="J382" s="24">
        <f t="shared" si="35"/>
        <v>58.59</v>
      </c>
      <c r="K382" s="24">
        <v>8.6</v>
      </c>
      <c r="L382" s="25">
        <f t="shared" si="36"/>
        <v>67.19</v>
      </c>
    </row>
    <row r="383" spans="1:12">
      <c r="A383" s="27">
        <v>27</v>
      </c>
      <c r="B383" s="45">
        <v>200880037</v>
      </c>
      <c r="C383" s="56" t="s">
        <v>392</v>
      </c>
      <c r="D383" s="24">
        <v>11.17</v>
      </c>
      <c r="E383" s="24">
        <v>9.9499999999999993</v>
      </c>
      <c r="F383" s="24">
        <v>9.36</v>
      </c>
      <c r="G383" s="24">
        <v>9.15</v>
      </c>
      <c r="H383" s="24">
        <v>10.87</v>
      </c>
      <c r="I383" s="24">
        <v>5</v>
      </c>
      <c r="J383" s="24">
        <f t="shared" si="35"/>
        <v>55.5</v>
      </c>
      <c r="K383" s="24">
        <v>10.6</v>
      </c>
      <c r="L383" s="25">
        <f t="shared" si="36"/>
        <v>66.099999999999994</v>
      </c>
    </row>
    <row r="384" spans="1:12">
      <c r="A384" s="27">
        <v>28</v>
      </c>
      <c r="B384" s="45">
        <v>200880038</v>
      </c>
      <c r="C384" s="56" t="s">
        <v>393</v>
      </c>
      <c r="D384" s="24">
        <v>8.92</v>
      </c>
      <c r="E384" s="24">
        <v>8.6999999999999993</v>
      </c>
      <c r="F384" s="24">
        <v>7.7</v>
      </c>
      <c r="G384" s="24">
        <v>6.3</v>
      </c>
      <c r="H384" s="24">
        <v>9.2200000000000006</v>
      </c>
      <c r="I384" s="24">
        <v>5</v>
      </c>
      <c r="J384" s="24">
        <f t="shared" si="35"/>
        <v>45.84</v>
      </c>
      <c r="K384" s="24">
        <v>10.6</v>
      </c>
      <c r="L384" s="25">
        <f t="shared" si="36"/>
        <v>56.440000000000005</v>
      </c>
    </row>
    <row r="385" spans="1:12">
      <c r="A385" s="27">
        <v>29</v>
      </c>
      <c r="B385" s="45">
        <v>200940459</v>
      </c>
      <c r="C385" s="56" t="s">
        <v>394</v>
      </c>
      <c r="D385" s="24">
        <v>4.72</v>
      </c>
      <c r="E385" s="24">
        <v>5.42</v>
      </c>
      <c r="F385" s="24">
        <v>5.42</v>
      </c>
      <c r="G385" s="24">
        <v>3.22</v>
      </c>
      <c r="H385" s="24">
        <v>0</v>
      </c>
      <c r="I385" s="24">
        <v>4.5</v>
      </c>
      <c r="J385" s="24">
        <f t="shared" si="35"/>
        <v>23.28</v>
      </c>
      <c r="K385" s="24" t="s">
        <v>475</v>
      </c>
      <c r="L385" s="25">
        <f>+J385</f>
        <v>23.28</v>
      </c>
    </row>
    <row r="386" spans="1:12">
      <c r="A386" s="27">
        <v>30</v>
      </c>
      <c r="B386" s="57">
        <v>200940500</v>
      </c>
      <c r="C386" s="56" t="s">
        <v>395</v>
      </c>
      <c r="D386" s="24">
        <v>9.33</v>
      </c>
      <c r="E386" s="24">
        <v>8.83</v>
      </c>
      <c r="F386" s="24">
        <v>9.15</v>
      </c>
      <c r="G386" s="24">
        <v>10.57</v>
      </c>
      <c r="H386" s="24">
        <v>10.95</v>
      </c>
      <c r="I386" s="24">
        <v>5</v>
      </c>
      <c r="J386" s="24">
        <f t="shared" si="35"/>
        <v>53.83</v>
      </c>
      <c r="K386" s="24">
        <v>11.6</v>
      </c>
      <c r="L386" s="25">
        <f t="shared" si="36"/>
        <v>65.429999999999993</v>
      </c>
    </row>
    <row r="387" spans="1:12">
      <c r="A387" s="27">
        <v>31</v>
      </c>
      <c r="B387" s="45">
        <v>200940520</v>
      </c>
      <c r="C387" s="56" t="s">
        <v>396</v>
      </c>
      <c r="D387" s="24">
        <v>7.91</v>
      </c>
      <c r="E387" s="24">
        <v>6.11</v>
      </c>
      <c r="F387" s="24">
        <v>6.5</v>
      </c>
      <c r="G387" s="24">
        <v>1.87</v>
      </c>
      <c r="H387" s="24">
        <v>0</v>
      </c>
      <c r="I387" s="24">
        <v>3</v>
      </c>
      <c r="J387" s="24">
        <f t="shared" si="35"/>
        <v>25.39</v>
      </c>
      <c r="K387" s="24" t="s">
        <v>475</v>
      </c>
      <c r="L387" s="25">
        <f>+J387</f>
        <v>25.39</v>
      </c>
    </row>
    <row r="388" spans="1:12">
      <c r="A388" s="27">
        <v>32</v>
      </c>
      <c r="B388" s="45">
        <v>200940528</v>
      </c>
      <c r="C388" s="56" t="s">
        <v>397</v>
      </c>
      <c r="D388" s="24">
        <v>6.6</v>
      </c>
      <c r="E388" s="24">
        <v>0</v>
      </c>
      <c r="F388" s="24">
        <v>0</v>
      </c>
      <c r="G388" s="24">
        <v>0</v>
      </c>
      <c r="H388" s="24">
        <v>0</v>
      </c>
      <c r="I388" s="24">
        <v>2</v>
      </c>
      <c r="J388" s="24">
        <f t="shared" si="35"/>
        <v>8.6</v>
      </c>
      <c r="K388" s="24" t="s">
        <v>475</v>
      </c>
      <c r="L388" s="25">
        <f t="shared" ref="L388:L397" si="40">+J388</f>
        <v>8.6</v>
      </c>
    </row>
    <row r="389" spans="1:12">
      <c r="A389" s="27">
        <v>33</v>
      </c>
      <c r="B389" s="45">
        <v>200940536</v>
      </c>
      <c r="C389" s="56" t="s">
        <v>398</v>
      </c>
      <c r="D389" s="24">
        <v>3.82</v>
      </c>
      <c r="E389" s="24">
        <v>7.24</v>
      </c>
      <c r="F389" s="24">
        <v>7.04</v>
      </c>
      <c r="G389" s="24">
        <v>2.4</v>
      </c>
      <c r="H389" s="24">
        <v>0</v>
      </c>
      <c r="I389" s="24">
        <v>3.6</v>
      </c>
      <c r="J389" s="24">
        <f t="shared" si="35"/>
        <v>24.1</v>
      </c>
      <c r="K389" s="24" t="s">
        <v>475</v>
      </c>
      <c r="L389" s="25">
        <f t="shared" si="40"/>
        <v>24.1</v>
      </c>
    </row>
    <row r="390" spans="1:12">
      <c r="A390" s="27">
        <v>34</v>
      </c>
      <c r="B390" s="45">
        <v>200940876</v>
      </c>
      <c r="C390" s="56" t="s">
        <v>399</v>
      </c>
      <c r="D390" s="24">
        <v>4.2699999999999996</v>
      </c>
      <c r="E390" s="24">
        <v>2.27</v>
      </c>
      <c r="F390" s="24">
        <v>3.13</v>
      </c>
      <c r="G390" s="24">
        <v>0.67</v>
      </c>
      <c r="H390" s="24">
        <v>0</v>
      </c>
      <c r="I390" s="24">
        <v>3.75</v>
      </c>
      <c r="J390" s="24">
        <f t="shared" si="35"/>
        <v>14.09</v>
      </c>
      <c r="K390" s="24" t="s">
        <v>475</v>
      </c>
      <c r="L390" s="25">
        <f t="shared" si="40"/>
        <v>14.09</v>
      </c>
    </row>
    <row r="391" spans="1:12">
      <c r="A391" s="27">
        <v>35</v>
      </c>
      <c r="B391" s="45">
        <v>200940879</v>
      </c>
      <c r="C391" s="59" t="s">
        <v>400</v>
      </c>
      <c r="D391" s="24">
        <v>3.78</v>
      </c>
      <c r="E391" s="24">
        <v>4.12</v>
      </c>
      <c r="F391" s="24">
        <v>4.1500000000000004</v>
      </c>
      <c r="G391" s="24">
        <v>1.42</v>
      </c>
      <c r="H391" s="24">
        <v>0</v>
      </c>
      <c r="I391" s="24">
        <v>3.75</v>
      </c>
      <c r="J391" s="24">
        <f t="shared" si="35"/>
        <v>17.220000000000002</v>
      </c>
      <c r="K391" s="24" t="s">
        <v>475</v>
      </c>
      <c r="L391" s="25">
        <f t="shared" si="40"/>
        <v>17.220000000000002</v>
      </c>
    </row>
    <row r="392" spans="1:12">
      <c r="A392" s="27">
        <v>36</v>
      </c>
      <c r="B392" s="57">
        <v>200941420</v>
      </c>
      <c r="C392" s="60" t="s">
        <v>401</v>
      </c>
      <c r="D392" s="24">
        <v>3.07</v>
      </c>
      <c r="E392" s="24">
        <v>3.66</v>
      </c>
      <c r="F392" s="24">
        <v>5.13</v>
      </c>
      <c r="G392" s="24">
        <v>1.1299999999999999</v>
      </c>
      <c r="H392" s="24">
        <v>0</v>
      </c>
      <c r="I392" s="24">
        <v>2.9</v>
      </c>
      <c r="J392" s="24">
        <f t="shared" si="35"/>
        <v>15.89</v>
      </c>
      <c r="K392" s="24" t="s">
        <v>475</v>
      </c>
      <c r="L392" s="25">
        <f t="shared" si="40"/>
        <v>15.89</v>
      </c>
    </row>
    <row r="393" spans="1:12">
      <c r="A393" s="27">
        <v>37</v>
      </c>
      <c r="B393" s="57">
        <v>200942150</v>
      </c>
      <c r="C393" s="60" t="s">
        <v>402</v>
      </c>
      <c r="D393" s="24">
        <v>10.35</v>
      </c>
      <c r="E393" s="24">
        <v>0</v>
      </c>
      <c r="F393" s="24">
        <v>0</v>
      </c>
      <c r="G393" s="24">
        <v>0</v>
      </c>
      <c r="H393" s="24">
        <v>0</v>
      </c>
      <c r="I393" s="24">
        <v>1.75</v>
      </c>
      <c r="J393" s="24">
        <f t="shared" si="35"/>
        <v>12.1</v>
      </c>
      <c r="K393" s="24" t="s">
        <v>475</v>
      </c>
      <c r="L393" s="25">
        <f t="shared" si="40"/>
        <v>12.1</v>
      </c>
    </row>
    <row r="394" spans="1:12">
      <c r="A394" s="27">
        <v>38</v>
      </c>
      <c r="B394" s="45">
        <v>200942163</v>
      </c>
      <c r="C394" s="56" t="s">
        <v>403</v>
      </c>
      <c r="D394" s="24">
        <v>8.4</v>
      </c>
      <c r="E394" s="24">
        <v>6.82</v>
      </c>
      <c r="F394" s="24">
        <v>5.63</v>
      </c>
      <c r="G394" s="24">
        <v>0</v>
      </c>
      <c r="H394" s="24">
        <v>0</v>
      </c>
      <c r="I394" s="24">
        <v>1.75</v>
      </c>
      <c r="J394" s="24">
        <f t="shared" si="35"/>
        <v>22.6</v>
      </c>
      <c r="K394" s="24" t="s">
        <v>475</v>
      </c>
      <c r="L394" s="25">
        <f t="shared" si="40"/>
        <v>22.6</v>
      </c>
    </row>
    <row r="395" spans="1:12">
      <c r="A395" s="27">
        <v>39</v>
      </c>
      <c r="B395" s="45">
        <v>200942665</v>
      </c>
      <c r="C395" s="59" t="s">
        <v>404</v>
      </c>
      <c r="D395" s="24">
        <v>7.24</v>
      </c>
      <c r="E395" s="24">
        <v>5.77</v>
      </c>
      <c r="F395" s="24">
        <v>5.91</v>
      </c>
      <c r="G395" s="24">
        <v>4.57</v>
      </c>
      <c r="H395" s="24">
        <v>7.57</v>
      </c>
      <c r="I395" s="24">
        <v>3.6</v>
      </c>
      <c r="J395" s="24">
        <f t="shared" si="35"/>
        <v>34.659999999999997</v>
      </c>
      <c r="K395" s="24" t="s">
        <v>475</v>
      </c>
      <c r="L395" s="25">
        <f t="shared" si="40"/>
        <v>34.659999999999997</v>
      </c>
    </row>
    <row r="396" spans="1:12">
      <c r="A396" s="27">
        <v>40</v>
      </c>
      <c r="B396" s="45">
        <v>200942674</v>
      </c>
      <c r="C396" s="56" t="s">
        <v>405</v>
      </c>
      <c r="D396" s="24">
        <v>4.12</v>
      </c>
      <c r="E396" s="24">
        <v>0</v>
      </c>
      <c r="F396" s="24">
        <v>0</v>
      </c>
      <c r="G396" s="24">
        <v>0</v>
      </c>
      <c r="H396" s="24">
        <v>0</v>
      </c>
      <c r="I396" s="24">
        <v>3.35</v>
      </c>
      <c r="J396" s="24">
        <f t="shared" si="35"/>
        <v>7.4700000000000006</v>
      </c>
      <c r="K396" s="24" t="s">
        <v>475</v>
      </c>
      <c r="L396" s="25">
        <f t="shared" si="40"/>
        <v>7.4700000000000006</v>
      </c>
    </row>
    <row r="397" spans="1:12">
      <c r="A397" s="27">
        <v>41</v>
      </c>
      <c r="B397" s="45">
        <v>200942710</v>
      </c>
      <c r="C397" s="59" t="s">
        <v>406</v>
      </c>
      <c r="D397" s="24">
        <v>2.77</v>
      </c>
      <c r="E397" s="24">
        <v>5.97</v>
      </c>
      <c r="F397" s="24">
        <v>0</v>
      </c>
      <c r="G397" s="24">
        <v>0</v>
      </c>
      <c r="H397" s="24">
        <v>0</v>
      </c>
      <c r="I397" s="24">
        <v>1.05</v>
      </c>
      <c r="J397" s="24">
        <f t="shared" si="35"/>
        <v>9.7899999999999991</v>
      </c>
      <c r="K397" s="24" t="s">
        <v>475</v>
      </c>
      <c r="L397" s="25">
        <f t="shared" si="40"/>
        <v>9.7899999999999991</v>
      </c>
    </row>
    <row r="398" spans="1:12">
      <c r="A398" s="27">
        <v>42</v>
      </c>
      <c r="B398" s="45">
        <v>200942784</v>
      </c>
      <c r="C398" s="58" t="s">
        <v>407</v>
      </c>
      <c r="D398" s="24">
        <v>9.7100000000000009</v>
      </c>
      <c r="E398" s="24">
        <v>9.86</v>
      </c>
      <c r="F398" s="24">
        <v>9.15</v>
      </c>
      <c r="G398" s="24">
        <v>9.75</v>
      </c>
      <c r="H398" s="24">
        <v>10.5</v>
      </c>
      <c r="I398" s="24">
        <v>5</v>
      </c>
      <c r="J398" s="24">
        <f t="shared" si="35"/>
        <v>53.97</v>
      </c>
      <c r="K398" s="24">
        <v>9.8000000000000007</v>
      </c>
      <c r="L398" s="25">
        <f t="shared" si="36"/>
        <v>63.769999999999996</v>
      </c>
    </row>
    <row r="399" spans="1:12">
      <c r="A399" s="27">
        <v>43</v>
      </c>
      <c r="B399" s="45">
        <v>200942848</v>
      </c>
      <c r="C399" s="56" t="s">
        <v>408</v>
      </c>
      <c r="D399" s="24">
        <v>2.85</v>
      </c>
      <c r="E399" s="24">
        <v>0</v>
      </c>
      <c r="F399" s="24">
        <v>0</v>
      </c>
      <c r="G399" s="24">
        <v>0</v>
      </c>
      <c r="H399" s="24">
        <v>0</v>
      </c>
      <c r="I399" s="24">
        <v>1.05</v>
      </c>
      <c r="J399" s="24">
        <f t="shared" si="35"/>
        <v>3.9000000000000004</v>
      </c>
      <c r="K399" s="24" t="s">
        <v>475</v>
      </c>
      <c r="L399" s="25">
        <f>+J399</f>
        <v>3.9000000000000004</v>
      </c>
    </row>
    <row r="400" spans="1:12">
      <c r="A400" s="27">
        <v>44</v>
      </c>
      <c r="B400" s="45">
        <v>200942862</v>
      </c>
      <c r="C400" s="56" t="s">
        <v>409</v>
      </c>
      <c r="D400" s="24">
        <v>4.38</v>
      </c>
      <c r="E400" s="24">
        <v>2.97</v>
      </c>
      <c r="F400" s="24">
        <v>4.09</v>
      </c>
      <c r="G400" s="24">
        <v>2.25</v>
      </c>
      <c r="H400" s="24">
        <v>0</v>
      </c>
      <c r="I400" s="24">
        <v>1.25</v>
      </c>
      <c r="J400" s="24">
        <f t="shared" si="35"/>
        <v>14.940000000000001</v>
      </c>
      <c r="K400" s="24" t="s">
        <v>475</v>
      </c>
      <c r="L400" s="25">
        <f t="shared" ref="L400:L409" si="41">+J400</f>
        <v>14.940000000000001</v>
      </c>
    </row>
    <row r="401" spans="1:12">
      <c r="A401" s="27">
        <v>45</v>
      </c>
      <c r="B401" s="57">
        <v>200942871</v>
      </c>
      <c r="C401" s="60" t="s">
        <v>410</v>
      </c>
      <c r="D401" s="24">
        <v>6.9</v>
      </c>
      <c r="E401" s="24">
        <v>5.72</v>
      </c>
      <c r="F401" s="24">
        <v>6.51</v>
      </c>
      <c r="G401" s="24">
        <v>2.5499999999999998</v>
      </c>
      <c r="H401" s="24">
        <v>0</v>
      </c>
      <c r="I401" s="24">
        <v>3.75</v>
      </c>
      <c r="J401" s="24">
        <f t="shared" si="35"/>
        <v>25.43</v>
      </c>
      <c r="K401" s="24" t="s">
        <v>475</v>
      </c>
      <c r="L401" s="25">
        <f t="shared" si="41"/>
        <v>25.43</v>
      </c>
    </row>
    <row r="402" spans="1:12">
      <c r="A402" s="27">
        <v>46</v>
      </c>
      <c r="B402" s="57">
        <v>200942929</v>
      </c>
      <c r="C402" s="60" t="s">
        <v>411</v>
      </c>
      <c r="D402" s="24">
        <v>2.85</v>
      </c>
      <c r="E402" s="24">
        <v>3.31</v>
      </c>
      <c r="F402" s="24">
        <v>0</v>
      </c>
      <c r="G402" s="24">
        <v>0</v>
      </c>
      <c r="H402" s="24">
        <v>0</v>
      </c>
      <c r="I402" s="24">
        <v>0.5</v>
      </c>
      <c r="J402" s="24">
        <f t="shared" si="35"/>
        <v>6.66</v>
      </c>
      <c r="K402" s="24" t="s">
        <v>475</v>
      </c>
      <c r="L402" s="25">
        <f t="shared" si="41"/>
        <v>6.66</v>
      </c>
    </row>
    <row r="403" spans="1:12">
      <c r="A403" s="27">
        <v>47</v>
      </c>
      <c r="B403" s="45">
        <v>200943135</v>
      </c>
      <c r="C403" s="56" t="s">
        <v>412</v>
      </c>
      <c r="D403" s="24">
        <v>9.15</v>
      </c>
      <c r="E403" s="24">
        <v>0</v>
      </c>
      <c r="F403" s="24">
        <v>0</v>
      </c>
      <c r="G403" s="24">
        <v>0</v>
      </c>
      <c r="H403" s="24">
        <v>0</v>
      </c>
      <c r="I403" s="24">
        <v>1</v>
      </c>
      <c r="J403" s="24">
        <f t="shared" si="35"/>
        <v>10.15</v>
      </c>
      <c r="K403" s="24" t="s">
        <v>475</v>
      </c>
      <c r="L403" s="25">
        <f t="shared" si="41"/>
        <v>10.15</v>
      </c>
    </row>
    <row r="404" spans="1:12">
      <c r="A404" s="27">
        <v>48</v>
      </c>
      <c r="B404" s="45">
        <v>200943323</v>
      </c>
      <c r="C404" s="59" t="s">
        <v>413</v>
      </c>
      <c r="D404" s="24">
        <v>4.42</v>
      </c>
      <c r="E404" s="24">
        <v>4.46</v>
      </c>
      <c r="F404" s="24">
        <v>0</v>
      </c>
      <c r="G404" s="24">
        <v>2.17</v>
      </c>
      <c r="H404" s="24">
        <v>0</v>
      </c>
      <c r="I404" s="24">
        <v>2.2999999999999998</v>
      </c>
      <c r="J404" s="24">
        <f t="shared" si="35"/>
        <v>13.35</v>
      </c>
      <c r="K404" s="24" t="s">
        <v>475</v>
      </c>
      <c r="L404" s="25">
        <f t="shared" si="41"/>
        <v>13.35</v>
      </c>
    </row>
    <row r="405" spans="1:12">
      <c r="A405" s="27">
        <v>49</v>
      </c>
      <c r="B405" s="45">
        <v>200943325</v>
      </c>
      <c r="C405" s="56" t="s">
        <v>414</v>
      </c>
      <c r="D405" s="24">
        <v>5.73</v>
      </c>
      <c r="E405" s="24">
        <v>5.7</v>
      </c>
      <c r="F405" s="24">
        <v>6.51</v>
      </c>
      <c r="G405" s="24">
        <v>6.15</v>
      </c>
      <c r="H405" s="24">
        <v>0</v>
      </c>
      <c r="I405" s="24">
        <v>3.7</v>
      </c>
      <c r="J405" s="24">
        <f t="shared" si="35"/>
        <v>27.79</v>
      </c>
      <c r="K405" s="24" t="s">
        <v>475</v>
      </c>
      <c r="L405" s="25">
        <f t="shared" si="41"/>
        <v>27.79</v>
      </c>
    </row>
    <row r="406" spans="1:12">
      <c r="A406" s="27">
        <v>50</v>
      </c>
      <c r="B406" s="45">
        <v>200943358</v>
      </c>
      <c r="C406" s="56" t="s">
        <v>415</v>
      </c>
      <c r="D406" s="24">
        <v>5.88</v>
      </c>
      <c r="E406" s="24">
        <v>3.45</v>
      </c>
      <c r="F406" s="24">
        <v>2.68</v>
      </c>
      <c r="G406" s="24">
        <v>0</v>
      </c>
      <c r="H406" s="24">
        <v>0</v>
      </c>
      <c r="I406" s="24">
        <v>2.9</v>
      </c>
      <c r="J406" s="24">
        <f t="shared" si="35"/>
        <v>14.91</v>
      </c>
      <c r="K406" s="24" t="s">
        <v>475</v>
      </c>
      <c r="L406" s="25">
        <f t="shared" si="41"/>
        <v>14.91</v>
      </c>
    </row>
    <row r="407" spans="1:12">
      <c r="A407" s="27">
        <v>51</v>
      </c>
      <c r="B407" s="45">
        <v>200943362</v>
      </c>
      <c r="C407" s="56" t="s">
        <v>416</v>
      </c>
      <c r="D407" s="24">
        <v>9.15</v>
      </c>
      <c r="E407" s="24">
        <v>4.3600000000000003</v>
      </c>
      <c r="F407" s="24">
        <v>5.92</v>
      </c>
      <c r="G407" s="24">
        <v>4.2699999999999996</v>
      </c>
      <c r="H407" s="24">
        <v>5.25</v>
      </c>
      <c r="I407" s="24">
        <v>4</v>
      </c>
      <c r="J407" s="24">
        <f t="shared" si="35"/>
        <v>32.949999999999996</v>
      </c>
      <c r="K407" s="24" t="s">
        <v>475</v>
      </c>
      <c r="L407" s="25">
        <f t="shared" si="41"/>
        <v>32.949999999999996</v>
      </c>
    </row>
    <row r="408" spans="1:12">
      <c r="A408" s="27">
        <v>52</v>
      </c>
      <c r="B408" s="45">
        <v>200943370</v>
      </c>
      <c r="C408" s="60" t="s">
        <v>417</v>
      </c>
      <c r="D408" s="24">
        <v>6.75</v>
      </c>
      <c r="E408" s="24">
        <v>4.26</v>
      </c>
      <c r="F408" s="24">
        <v>4.8</v>
      </c>
      <c r="G408" s="24">
        <f>+H408</f>
        <v>0</v>
      </c>
      <c r="H408" s="24">
        <v>0</v>
      </c>
      <c r="I408" s="24">
        <v>3</v>
      </c>
      <c r="J408" s="24">
        <f t="shared" si="35"/>
        <v>18.809999999999999</v>
      </c>
      <c r="K408" s="24" t="s">
        <v>475</v>
      </c>
      <c r="L408" s="25">
        <f t="shared" si="41"/>
        <v>18.809999999999999</v>
      </c>
    </row>
    <row r="409" spans="1:12">
      <c r="A409" s="27">
        <v>53</v>
      </c>
      <c r="B409" s="45">
        <v>200943372</v>
      </c>
      <c r="C409" s="60" t="s">
        <v>418</v>
      </c>
      <c r="D409" s="24">
        <v>5.13</v>
      </c>
      <c r="E409" s="24">
        <v>5.3</v>
      </c>
      <c r="F409" s="24">
        <v>3.9</v>
      </c>
      <c r="G409" s="24">
        <v>1.35</v>
      </c>
      <c r="H409" s="24">
        <v>3.6</v>
      </c>
      <c r="I409" s="24">
        <v>3.9</v>
      </c>
      <c r="J409" s="24">
        <f t="shared" si="35"/>
        <v>23.18</v>
      </c>
      <c r="K409" s="24" t="s">
        <v>475</v>
      </c>
      <c r="L409" s="25">
        <f t="shared" si="41"/>
        <v>23.18</v>
      </c>
    </row>
    <row r="410" spans="1:12">
      <c r="A410" s="27">
        <v>54</v>
      </c>
      <c r="B410" s="45">
        <v>200943511</v>
      </c>
      <c r="C410" s="56" t="s">
        <v>419</v>
      </c>
      <c r="D410" s="24">
        <v>6.26</v>
      </c>
      <c r="E410" s="24">
        <v>8.15</v>
      </c>
      <c r="F410" s="24">
        <v>10.83</v>
      </c>
      <c r="G410" s="24">
        <v>9.3699999999999992</v>
      </c>
      <c r="H410" s="24">
        <v>10.42</v>
      </c>
      <c r="I410" s="24">
        <v>5</v>
      </c>
      <c r="J410" s="24">
        <f t="shared" si="35"/>
        <v>50.029999999999994</v>
      </c>
      <c r="K410" s="24">
        <v>11</v>
      </c>
      <c r="L410" s="25">
        <f t="shared" si="36"/>
        <v>61.029999999999994</v>
      </c>
    </row>
    <row r="411" spans="1:12">
      <c r="A411" s="27">
        <v>55</v>
      </c>
      <c r="B411" s="45">
        <v>200943638</v>
      </c>
      <c r="C411" s="60" t="s">
        <v>420</v>
      </c>
      <c r="D411" s="24">
        <v>3.52</v>
      </c>
      <c r="E411" s="24">
        <v>3.6</v>
      </c>
      <c r="F411" s="24">
        <v>3.75</v>
      </c>
      <c r="G411" s="24">
        <v>0.68</v>
      </c>
      <c r="H411" s="24">
        <v>0</v>
      </c>
      <c r="I411" s="24">
        <v>3.6</v>
      </c>
      <c r="J411" s="24">
        <f t="shared" si="35"/>
        <v>15.15</v>
      </c>
      <c r="K411" s="24" t="s">
        <v>475</v>
      </c>
      <c r="L411" s="25">
        <f>+J411</f>
        <v>15.15</v>
      </c>
    </row>
    <row r="412" spans="1:12">
      <c r="A412" s="27">
        <v>56</v>
      </c>
      <c r="B412" s="45">
        <v>200943718</v>
      </c>
      <c r="C412" s="60" t="s">
        <v>421</v>
      </c>
      <c r="D412" s="24">
        <v>9.2200000000000006</v>
      </c>
      <c r="E412" s="24">
        <v>10.18</v>
      </c>
      <c r="F412" s="24">
        <v>7.2</v>
      </c>
      <c r="G412" s="24">
        <v>8.5500000000000007</v>
      </c>
      <c r="H412" s="24">
        <v>8.4</v>
      </c>
      <c r="I412" s="24">
        <v>5</v>
      </c>
      <c r="J412" s="24">
        <f t="shared" si="35"/>
        <v>48.55</v>
      </c>
      <c r="K412" s="24">
        <v>8.6</v>
      </c>
      <c r="L412" s="25">
        <f t="shared" si="36"/>
        <v>57.15</v>
      </c>
    </row>
    <row r="413" spans="1:12">
      <c r="A413" s="27">
        <v>57</v>
      </c>
      <c r="B413" s="45">
        <v>200944070</v>
      </c>
      <c r="C413" s="60" t="s">
        <v>422</v>
      </c>
      <c r="D413" s="24">
        <v>7.16</v>
      </c>
      <c r="E413" s="24">
        <v>0</v>
      </c>
      <c r="F413" s="24">
        <v>0</v>
      </c>
      <c r="G413" s="24">
        <v>0</v>
      </c>
      <c r="H413" s="24">
        <v>0</v>
      </c>
      <c r="I413" s="24">
        <v>0</v>
      </c>
      <c r="J413" s="24">
        <f t="shared" si="35"/>
        <v>7.16</v>
      </c>
      <c r="K413" s="24" t="s">
        <v>475</v>
      </c>
      <c r="L413" s="25">
        <f>+J413</f>
        <v>7.16</v>
      </c>
    </row>
    <row r="414" spans="1:12">
      <c r="A414" s="27">
        <v>58</v>
      </c>
      <c r="B414" s="45">
        <v>200946028</v>
      </c>
      <c r="C414" s="60" t="s">
        <v>423</v>
      </c>
      <c r="D414" s="24">
        <v>3.3</v>
      </c>
      <c r="E414" s="24">
        <v>2.95</v>
      </c>
      <c r="F414" s="24">
        <v>5.59</v>
      </c>
      <c r="G414" s="24">
        <v>1.1299999999999999</v>
      </c>
      <c r="H414" s="24">
        <v>0</v>
      </c>
      <c r="I414" s="24">
        <v>2</v>
      </c>
      <c r="J414" s="24">
        <f t="shared" si="35"/>
        <v>14.969999999999999</v>
      </c>
      <c r="K414" s="24" t="s">
        <v>475</v>
      </c>
      <c r="L414" s="25">
        <f t="shared" ref="L414:L416" si="42">+J414</f>
        <v>14.969999999999999</v>
      </c>
    </row>
    <row r="415" spans="1:12">
      <c r="A415" s="27">
        <v>59</v>
      </c>
      <c r="B415" s="45">
        <v>200980056</v>
      </c>
      <c r="C415" s="60" t="s">
        <v>424</v>
      </c>
      <c r="D415" s="24">
        <v>4.83</v>
      </c>
      <c r="E415" s="24">
        <v>2.86</v>
      </c>
      <c r="F415" s="24">
        <v>0</v>
      </c>
      <c r="G415" s="24">
        <v>0</v>
      </c>
      <c r="H415" s="24">
        <v>0</v>
      </c>
      <c r="I415" s="24">
        <v>0</v>
      </c>
      <c r="J415" s="24">
        <f t="shared" si="35"/>
        <v>7.6899999999999995</v>
      </c>
      <c r="K415" s="24" t="s">
        <v>475</v>
      </c>
      <c r="L415" s="25">
        <f t="shared" si="42"/>
        <v>7.6899999999999995</v>
      </c>
    </row>
    <row r="416" spans="1:12">
      <c r="A416" s="27">
        <v>60</v>
      </c>
      <c r="B416" s="45">
        <v>200946343</v>
      </c>
      <c r="C416" s="60" t="s">
        <v>425</v>
      </c>
      <c r="D416" s="24">
        <v>5.4</v>
      </c>
      <c r="E416" s="24">
        <v>9.18</v>
      </c>
      <c r="F416" s="24">
        <v>8.36</v>
      </c>
      <c r="G416" s="24">
        <v>4.72</v>
      </c>
      <c r="H416" s="24">
        <v>9.67</v>
      </c>
      <c r="I416" s="24">
        <v>3.1</v>
      </c>
      <c r="J416" s="24">
        <f t="shared" si="35"/>
        <v>40.43</v>
      </c>
      <c r="K416" s="24" t="s">
        <v>475</v>
      </c>
      <c r="L416" s="25">
        <f t="shared" si="42"/>
        <v>40.43</v>
      </c>
    </row>
    <row r="417" spans="1:12">
      <c r="A417" s="29"/>
      <c r="B417" s="29"/>
      <c r="C417" s="30"/>
      <c r="D417" s="31"/>
      <c r="E417" s="31"/>
      <c r="F417" s="31"/>
      <c r="G417" s="31"/>
      <c r="H417" s="31"/>
      <c r="I417" s="31"/>
      <c r="J417" s="31"/>
      <c r="K417" s="31"/>
      <c r="L417" s="32"/>
    </row>
    <row r="418" spans="1:12">
      <c r="A418" s="29"/>
      <c r="B418" s="29"/>
      <c r="C418" s="30"/>
      <c r="D418" s="31"/>
      <c r="E418" s="31"/>
      <c r="F418" s="31"/>
      <c r="G418" s="31"/>
      <c r="H418" s="31"/>
      <c r="I418" s="31"/>
      <c r="J418" s="31"/>
      <c r="K418" s="31"/>
      <c r="L418" s="32"/>
    </row>
    <row r="419" spans="1:12" ht="17.25" thickBot="1">
      <c r="A419" s="33"/>
      <c r="B419" s="33"/>
      <c r="C419" s="34"/>
      <c r="D419" s="31"/>
      <c r="E419" s="31"/>
      <c r="F419" s="31"/>
      <c r="G419" s="31"/>
      <c r="H419" s="35"/>
      <c r="I419" s="35"/>
      <c r="J419" s="35"/>
      <c r="K419" s="9"/>
      <c r="L419" s="32"/>
    </row>
    <row r="420" spans="1:12">
      <c r="H420" s="100" t="s">
        <v>96</v>
      </c>
      <c r="I420" s="100"/>
      <c r="J420" s="100"/>
      <c r="L420" s="1"/>
    </row>
    <row r="421" spans="1:12">
      <c r="D421" s="36"/>
      <c r="H421" s="100" t="s">
        <v>21</v>
      </c>
      <c r="I421" s="100"/>
      <c r="J421" s="100"/>
      <c r="L421" s="1"/>
    </row>
    <row r="422" spans="1:12">
      <c r="D422" s="36"/>
      <c r="H422" s="100" t="s">
        <v>97</v>
      </c>
      <c r="I422" s="100"/>
      <c r="J422" s="100"/>
      <c r="L422" s="1"/>
    </row>
    <row r="423" spans="1:12">
      <c r="D423" s="36"/>
      <c r="H423" s="61"/>
      <c r="I423" s="61"/>
      <c r="J423" s="61"/>
      <c r="L423" s="1"/>
    </row>
    <row r="424" spans="1:12">
      <c r="D424" s="36"/>
      <c r="H424" s="61"/>
      <c r="I424" s="61"/>
      <c r="J424" s="61"/>
      <c r="L424" s="1"/>
    </row>
    <row r="425" spans="1:12">
      <c r="D425" s="36"/>
      <c r="H425" s="61"/>
      <c r="I425" s="61"/>
      <c r="J425" s="61"/>
      <c r="L425" s="1"/>
    </row>
    <row r="426" spans="1:12">
      <c r="D426" s="36"/>
      <c r="H426" s="61"/>
      <c r="I426" s="61"/>
      <c r="J426" s="61"/>
      <c r="L426" s="1"/>
    </row>
    <row r="427" spans="1:12">
      <c r="D427" s="36"/>
      <c r="H427" s="61"/>
      <c r="I427" s="61"/>
      <c r="J427" s="61"/>
      <c r="L427" s="1"/>
    </row>
    <row r="428" spans="1:12">
      <c r="D428" s="36"/>
      <c r="H428" s="61"/>
      <c r="I428" s="61"/>
      <c r="J428" s="61"/>
      <c r="L428" s="1"/>
    </row>
    <row r="429" spans="1:12">
      <c r="D429" s="36"/>
      <c r="H429" s="75"/>
      <c r="I429" s="75"/>
      <c r="J429" s="75"/>
      <c r="L429" s="1"/>
    </row>
    <row r="431" spans="1:12" ht="17.25" thickBot="1">
      <c r="A431" s="1" t="s">
        <v>0</v>
      </c>
      <c r="I431" s="3"/>
    </row>
    <row r="432" spans="1:12">
      <c r="A432" s="1" t="s">
        <v>1</v>
      </c>
      <c r="F432" s="4"/>
      <c r="G432" s="5"/>
      <c r="H432" s="6"/>
      <c r="I432" s="7"/>
    </row>
    <row r="433" spans="1:12">
      <c r="A433" s="8" t="s">
        <v>2</v>
      </c>
      <c r="B433" s="9"/>
      <c r="E433" s="7"/>
      <c r="F433" s="10"/>
      <c r="G433" s="11"/>
      <c r="H433" s="12"/>
      <c r="I433" s="7"/>
    </row>
    <row r="434" spans="1:12" ht="17.25" thickBot="1">
      <c r="A434" s="13" t="s">
        <v>3</v>
      </c>
      <c r="B434" s="9"/>
      <c r="E434" s="7"/>
      <c r="F434" s="10"/>
      <c r="G434" s="11"/>
      <c r="H434" s="12"/>
      <c r="I434" s="7"/>
    </row>
    <row r="435" spans="1:12" ht="17.25" thickBot="1">
      <c r="A435" s="14" t="s">
        <v>22</v>
      </c>
      <c r="B435" s="15"/>
      <c r="C435" s="16"/>
      <c r="E435" s="7"/>
      <c r="F435" s="17"/>
      <c r="G435" s="18"/>
      <c r="H435" s="19"/>
      <c r="I435" s="7"/>
    </row>
    <row r="436" spans="1:12">
      <c r="A436" s="8"/>
      <c r="B436" s="9"/>
      <c r="E436" s="7"/>
      <c r="I436" s="3"/>
    </row>
    <row r="437" spans="1:12">
      <c r="A437" s="1" t="s">
        <v>91</v>
      </c>
      <c r="B437" s="9"/>
      <c r="C437" s="20" t="s">
        <v>300</v>
      </c>
      <c r="E437" s="7"/>
      <c r="I437" s="3"/>
    </row>
    <row r="438" spans="1:12">
      <c r="A438" s="1" t="s">
        <v>4</v>
      </c>
      <c r="C438" s="20" t="s">
        <v>98</v>
      </c>
      <c r="I438" s="3"/>
    </row>
    <row r="439" spans="1:12">
      <c r="A439" s="1" t="s">
        <v>5</v>
      </c>
      <c r="C439" s="20" t="s">
        <v>100</v>
      </c>
    </row>
    <row r="440" spans="1:12">
      <c r="A440" s="21"/>
      <c r="B440" s="21"/>
      <c r="C440" s="21"/>
      <c r="D440" s="21"/>
      <c r="E440" s="21"/>
      <c r="F440" s="21"/>
      <c r="G440" s="21"/>
      <c r="H440" s="21"/>
      <c r="I440" s="21"/>
      <c r="J440" s="21"/>
    </row>
    <row r="441" spans="1:12">
      <c r="A441" s="1"/>
      <c r="C441" s="22" t="s">
        <v>6</v>
      </c>
      <c r="D441" s="22" t="s">
        <v>93</v>
      </c>
      <c r="E441" s="22" t="s">
        <v>93</v>
      </c>
      <c r="F441" s="22" t="s">
        <v>93</v>
      </c>
      <c r="G441" s="22" t="s">
        <v>93</v>
      </c>
      <c r="H441" s="22" t="s">
        <v>93</v>
      </c>
      <c r="I441" s="22" t="s">
        <v>94</v>
      </c>
      <c r="J441" s="22" t="s">
        <v>8</v>
      </c>
      <c r="K441" s="22" t="s">
        <v>7</v>
      </c>
      <c r="L441" s="22" t="s">
        <v>9</v>
      </c>
    </row>
    <row r="442" spans="1:12">
      <c r="A442" s="22" t="s">
        <v>10</v>
      </c>
      <c r="B442" s="22" t="s">
        <v>11</v>
      </c>
      <c r="C442" s="22" t="s">
        <v>12</v>
      </c>
      <c r="D442" s="22" t="s">
        <v>13</v>
      </c>
      <c r="E442" s="22" t="s">
        <v>14</v>
      </c>
      <c r="F442" s="22" t="s">
        <v>15</v>
      </c>
      <c r="G442" s="22" t="s">
        <v>16</v>
      </c>
      <c r="H442" s="22" t="s">
        <v>17</v>
      </c>
      <c r="I442" s="22" t="s">
        <v>95</v>
      </c>
      <c r="J442" s="22" t="s">
        <v>18</v>
      </c>
      <c r="K442" s="22" t="s">
        <v>19</v>
      </c>
      <c r="L442" s="22" t="s">
        <v>20</v>
      </c>
    </row>
    <row r="443" spans="1:12">
      <c r="A443" s="23">
        <v>1</v>
      </c>
      <c r="B443" s="45">
        <v>200540753</v>
      </c>
      <c r="C443" s="56" t="s">
        <v>301</v>
      </c>
      <c r="D443" s="24">
        <v>10.65</v>
      </c>
      <c r="E443" s="24">
        <v>8.94</v>
      </c>
      <c r="F443" s="24">
        <v>12.12</v>
      </c>
      <c r="G443" s="24">
        <v>9.75</v>
      </c>
      <c r="H443" s="24">
        <v>12.8</v>
      </c>
      <c r="I443" s="24">
        <v>4.5</v>
      </c>
      <c r="J443" s="24">
        <f>+I443+H443+G443+F443+E443+D443</f>
        <v>58.76</v>
      </c>
      <c r="K443" s="24">
        <v>9.8000000000000007</v>
      </c>
      <c r="L443" s="25">
        <f>+K443+J443</f>
        <v>68.56</v>
      </c>
    </row>
    <row r="444" spans="1:12">
      <c r="A444" s="26">
        <v>2</v>
      </c>
      <c r="B444" s="45">
        <v>200617648</v>
      </c>
      <c r="C444" s="56" t="s">
        <v>302</v>
      </c>
      <c r="D444" s="24">
        <v>7.2</v>
      </c>
      <c r="E444" s="24">
        <v>4.82</v>
      </c>
      <c r="F444" s="24">
        <v>4.92</v>
      </c>
      <c r="G444" s="24">
        <v>1.35</v>
      </c>
      <c r="H444" s="24">
        <v>0</v>
      </c>
      <c r="I444" s="24">
        <v>2.75</v>
      </c>
      <c r="J444" s="24">
        <f t="shared" ref="J444:J502" si="43">+I444+H444+G444+F444+E444+D444</f>
        <v>21.04</v>
      </c>
      <c r="K444" s="24" t="s">
        <v>475</v>
      </c>
      <c r="L444" s="25">
        <f>+J444</f>
        <v>21.04</v>
      </c>
    </row>
    <row r="445" spans="1:12">
      <c r="A445" s="27">
        <v>3</v>
      </c>
      <c r="B445" s="45">
        <v>200741790</v>
      </c>
      <c r="C445" s="56" t="s">
        <v>303</v>
      </c>
      <c r="D445" s="24">
        <v>5.63</v>
      </c>
      <c r="E445" s="24">
        <v>4.38</v>
      </c>
      <c r="F445" s="24">
        <v>4.38</v>
      </c>
      <c r="G445" s="24">
        <v>0</v>
      </c>
      <c r="H445" s="24">
        <v>0</v>
      </c>
      <c r="I445" s="24">
        <v>3</v>
      </c>
      <c r="J445" s="24">
        <f t="shared" si="43"/>
        <v>17.39</v>
      </c>
      <c r="K445" s="24" t="s">
        <v>475</v>
      </c>
      <c r="L445" s="25">
        <f t="shared" ref="L445:L447" si="44">+J445</f>
        <v>17.39</v>
      </c>
    </row>
    <row r="446" spans="1:12">
      <c r="A446" s="26">
        <v>4</v>
      </c>
      <c r="B446" s="45">
        <v>200741812</v>
      </c>
      <c r="C446" s="56" t="s">
        <v>304</v>
      </c>
      <c r="D446" s="24">
        <v>8.0250000000000004</v>
      </c>
      <c r="E446" s="24">
        <v>4.1399999999999997</v>
      </c>
      <c r="F446" s="24">
        <v>6.14</v>
      </c>
      <c r="G446" s="24">
        <v>6.53</v>
      </c>
      <c r="H446" s="24">
        <v>0</v>
      </c>
      <c r="I446" s="24">
        <v>4</v>
      </c>
      <c r="J446" s="24">
        <f t="shared" si="43"/>
        <v>28.835000000000001</v>
      </c>
      <c r="K446" s="24" t="s">
        <v>475</v>
      </c>
      <c r="L446" s="25">
        <f t="shared" si="44"/>
        <v>28.835000000000001</v>
      </c>
    </row>
    <row r="447" spans="1:12">
      <c r="A447" s="26">
        <v>5</v>
      </c>
      <c r="B447" s="45">
        <v>200741815</v>
      </c>
      <c r="C447" s="56" t="s">
        <v>305</v>
      </c>
      <c r="D447" s="62">
        <v>5.93</v>
      </c>
      <c r="E447" s="62">
        <v>3.72</v>
      </c>
      <c r="F447" s="62">
        <v>4.63</v>
      </c>
      <c r="G447" s="24">
        <v>5.55</v>
      </c>
      <c r="H447" s="24">
        <v>9.1199999999999992</v>
      </c>
      <c r="I447" s="24">
        <v>5</v>
      </c>
      <c r="J447" s="24">
        <f t="shared" si="43"/>
        <v>33.949999999999996</v>
      </c>
      <c r="K447" s="24" t="s">
        <v>475</v>
      </c>
      <c r="L447" s="25">
        <f t="shared" si="44"/>
        <v>33.949999999999996</v>
      </c>
    </row>
    <row r="448" spans="1:12">
      <c r="A448" s="26">
        <v>6</v>
      </c>
      <c r="B448" s="45">
        <v>200741861</v>
      </c>
      <c r="C448" s="56" t="s">
        <v>306</v>
      </c>
      <c r="D448" s="24">
        <v>11.74</v>
      </c>
      <c r="E448" s="24">
        <v>11.37</v>
      </c>
      <c r="F448" s="24">
        <v>13.33</v>
      </c>
      <c r="G448" s="24">
        <v>11.55</v>
      </c>
      <c r="H448" s="24">
        <v>9.6</v>
      </c>
      <c r="I448" s="24">
        <v>3.5</v>
      </c>
      <c r="J448" s="24">
        <f t="shared" si="43"/>
        <v>61.089999999999996</v>
      </c>
      <c r="K448" s="24">
        <v>10</v>
      </c>
      <c r="L448" s="25">
        <f t="shared" ref="L448:L483" si="45">+K448+J448</f>
        <v>71.09</v>
      </c>
    </row>
    <row r="449" spans="1:12">
      <c r="A449" s="26">
        <v>7</v>
      </c>
      <c r="B449" s="45">
        <v>200742802</v>
      </c>
      <c r="C449" s="56" t="s">
        <v>307</v>
      </c>
      <c r="D449" s="24">
        <v>5.89</v>
      </c>
      <c r="E449" s="24">
        <v>5.73</v>
      </c>
      <c r="F449" s="24">
        <v>6.15</v>
      </c>
      <c r="G449" s="24">
        <v>6.23</v>
      </c>
      <c r="H449" s="24">
        <v>0</v>
      </c>
      <c r="I449" s="24">
        <v>2.5</v>
      </c>
      <c r="J449" s="24">
        <f t="shared" si="43"/>
        <v>26.5</v>
      </c>
      <c r="K449" s="24" t="s">
        <v>475</v>
      </c>
      <c r="L449" s="25">
        <f>+J449</f>
        <v>26.5</v>
      </c>
    </row>
    <row r="450" spans="1:12">
      <c r="A450" s="26">
        <v>8</v>
      </c>
      <c r="B450" s="45">
        <v>200821585</v>
      </c>
      <c r="C450" s="59" t="s">
        <v>308</v>
      </c>
      <c r="D450" s="24">
        <v>1.35</v>
      </c>
      <c r="E450" s="24">
        <v>2.58</v>
      </c>
      <c r="F450" s="24">
        <v>0.9</v>
      </c>
      <c r="G450" s="24">
        <v>0.38</v>
      </c>
      <c r="H450" s="24">
        <v>1.5</v>
      </c>
      <c r="I450" s="24">
        <v>3</v>
      </c>
      <c r="J450" s="24">
        <f t="shared" si="43"/>
        <v>9.7099999999999991</v>
      </c>
      <c r="K450" s="24" t="s">
        <v>475</v>
      </c>
      <c r="L450" s="25">
        <f>+J450</f>
        <v>9.7099999999999991</v>
      </c>
    </row>
    <row r="451" spans="1:12">
      <c r="A451" s="26">
        <v>9</v>
      </c>
      <c r="B451" s="37">
        <v>200840049</v>
      </c>
      <c r="C451" s="51" t="s">
        <v>309</v>
      </c>
      <c r="D451" s="24">
        <v>10.95</v>
      </c>
      <c r="E451" s="24">
        <v>9.58</v>
      </c>
      <c r="F451" s="24">
        <v>7.52</v>
      </c>
      <c r="G451" s="24">
        <v>8.18</v>
      </c>
      <c r="H451" s="24">
        <v>7.45</v>
      </c>
      <c r="I451" s="24">
        <v>3.75</v>
      </c>
      <c r="J451" s="24">
        <f t="shared" si="43"/>
        <v>47.429999999999993</v>
      </c>
      <c r="K451" s="24" t="s">
        <v>476</v>
      </c>
      <c r="L451" s="25">
        <v>47.43</v>
      </c>
    </row>
    <row r="452" spans="1:12">
      <c r="A452" s="26">
        <v>10</v>
      </c>
      <c r="B452" s="45">
        <v>200840151</v>
      </c>
      <c r="C452" s="60" t="s">
        <v>310</v>
      </c>
      <c r="D452" s="24">
        <v>12.6</v>
      </c>
      <c r="E452" s="24">
        <v>9.64</v>
      </c>
      <c r="F452" s="24">
        <v>10.89</v>
      </c>
      <c r="G452" s="24">
        <v>11.55</v>
      </c>
      <c r="H452" s="24">
        <v>13.03</v>
      </c>
      <c r="I452" s="24">
        <v>5</v>
      </c>
      <c r="J452" s="24">
        <f t="shared" si="43"/>
        <v>62.71</v>
      </c>
      <c r="K452" s="24">
        <v>9.6999999999999993</v>
      </c>
      <c r="L452" s="25">
        <f t="shared" si="45"/>
        <v>72.41</v>
      </c>
    </row>
    <row r="453" spans="1:12">
      <c r="A453" s="26">
        <v>11</v>
      </c>
      <c r="B453" s="45">
        <v>200840154</v>
      </c>
      <c r="C453" s="56" t="s">
        <v>311</v>
      </c>
      <c r="D453" s="24">
        <v>8.5500000000000007</v>
      </c>
      <c r="E453" s="24">
        <v>9.7200000000000006</v>
      </c>
      <c r="F453" s="24">
        <v>7.01</v>
      </c>
      <c r="G453" s="24">
        <v>7.13</v>
      </c>
      <c r="H453" s="28">
        <v>11.49</v>
      </c>
      <c r="I453" s="28">
        <v>5</v>
      </c>
      <c r="J453" s="24">
        <f t="shared" si="43"/>
        <v>48.900000000000006</v>
      </c>
      <c r="K453" s="24">
        <v>12</v>
      </c>
      <c r="L453" s="25">
        <f t="shared" si="45"/>
        <v>60.900000000000006</v>
      </c>
    </row>
    <row r="454" spans="1:12">
      <c r="A454" s="26">
        <v>12</v>
      </c>
      <c r="B454" s="45">
        <v>200840225</v>
      </c>
      <c r="C454" s="60" t="s">
        <v>312</v>
      </c>
      <c r="D454" s="24">
        <v>7.43</v>
      </c>
      <c r="E454" s="24">
        <v>4.2699999999999996</v>
      </c>
      <c r="F454" s="24">
        <v>4.0999999999999996</v>
      </c>
      <c r="G454" s="24">
        <f>+H454</f>
        <v>4.58</v>
      </c>
      <c r="H454" s="28">
        <v>4.58</v>
      </c>
      <c r="I454" s="28">
        <v>1.25</v>
      </c>
      <c r="J454" s="24">
        <f t="shared" si="43"/>
        <v>26.21</v>
      </c>
      <c r="K454" s="24" t="s">
        <v>475</v>
      </c>
      <c r="L454" s="25">
        <f>+J454</f>
        <v>26.21</v>
      </c>
    </row>
    <row r="455" spans="1:12">
      <c r="A455" s="26">
        <v>13</v>
      </c>
      <c r="B455" s="45">
        <v>200841793</v>
      </c>
      <c r="C455" s="56" t="s">
        <v>313</v>
      </c>
      <c r="D455" s="24">
        <v>4.8</v>
      </c>
      <c r="E455" s="24">
        <v>3.28</v>
      </c>
      <c r="F455" s="24">
        <v>2.06</v>
      </c>
      <c r="G455" s="24">
        <v>0</v>
      </c>
      <c r="H455" s="28">
        <v>0</v>
      </c>
      <c r="I455" s="28">
        <v>2</v>
      </c>
      <c r="J455" s="24">
        <f t="shared" si="43"/>
        <v>12.14</v>
      </c>
      <c r="K455" s="24" t="s">
        <v>475</v>
      </c>
      <c r="L455" s="25">
        <f t="shared" ref="L455:L458" si="46">+J455</f>
        <v>12.14</v>
      </c>
    </row>
    <row r="456" spans="1:12">
      <c r="A456" s="23">
        <v>14</v>
      </c>
      <c r="B456" s="45">
        <v>200842036</v>
      </c>
      <c r="C456" s="59" t="s">
        <v>314</v>
      </c>
      <c r="D456" s="24">
        <v>3.15</v>
      </c>
      <c r="E456" s="24">
        <v>3.8</v>
      </c>
      <c r="F456" s="24">
        <v>3.48</v>
      </c>
      <c r="G456" s="24">
        <v>0</v>
      </c>
      <c r="H456" s="28">
        <v>0</v>
      </c>
      <c r="I456" s="28">
        <v>1.5</v>
      </c>
      <c r="J456" s="24">
        <f t="shared" si="43"/>
        <v>11.930000000000001</v>
      </c>
      <c r="K456" s="24" t="s">
        <v>475</v>
      </c>
      <c r="L456" s="25">
        <f t="shared" si="46"/>
        <v>11.930000000000001</v>
      </c>
    </row>
    <row r="457" spans="1:12">
      <c r="A457" s="23">
        <v>15</v>
      </c>
      <c r="B457" s="45">
        <v>200842047</v>
      </c>
      <c r="C457" s="56" t="s">
        <v>315</v>
      </c>
      <c r="D457" s="24">
        <v>3.6</v>
      </c>
      <c r="E457" s="24">
        <v>3.31</v>
      </c>
      <c r="F457" s="24">
        <v>3.26</v>
      </c>
      <c r="G457" s="24">
        <v>0.23</v>
      </c>
      <c r="H457" s="24">
        <v>0</v>
      </c>
      <c r="I457" s="24">
        <v>4.25</v>
      </c>
      <c r="J457" s="24">
        <f t="shared" si="43"/>
        <v>14.65</v>
      </c>
      <c r="K457" s="24" t="s">
        <v>475</v>
      </c>
      <c r="L457" s="25">
        <f t="shared" si="46"/>
        <v>14.65</v>
      </c>
    </row>
    <row r="458" spans="1:12">
      <c r="A458" s="23">
        <v>16</v>
      </c>
      <c r="B458" s="45">
        <v>200842050</v>
      </c>
      <c r="C458" s="56" t="s">
        <v>316</v>
      </c>
      <c r="D458" s="24">
        <v>6.6</v>
      </c>
      <c r="E458" s="24">
        <v>7.97</v>
      </c>
      <c r="F458" s="24">
        <v>5.22</v>
      </c>
      <c r="G458" s="24">
        <v>0</v>
      </c>
      <c r="H458" s="24">
        <v>0</v>
      </c>
      <c r="I458" s="24">
        <v>3</v>
      </c>
      <c r="J458" s="24">
        <f t="shared" si="43"/>
        <v>22.79</v>
      </c>
      <c r="K458" s="24" t="s">
        <v>475</v>
      </c>
      <c r="L458" s="25">
        <f t="shared" si="46"/>
        <v>22.79</v>
      </c>
    </row>
    <row r="459" spans="1:12">
      <c r="A459" s="23">
        <v>17</v>
      </c>
      <c r="B459" s="45">
        <v>200842059</v>
      </c>
      <c r="C459" s="59" t="s">
        <v>317</v>
      </c>
      <c r="D459" s="24">
        <v>10.46</v>
      </c>
      <c r="E459" s="24">
        <v>10.55</v>
      </c>
      <c r="F459" s="24">
        <v>9.48</v>
      </c>
      <c r="G459" s="24">
        <v>10.65</v>
      </c>
      <c r="H459" s="24">
        <v>11.73</v>
      </c>
      <c r="I459" s="24">
        <v>5</v>
      </c>
      <c r="J459" s="24">
        <f t="shared" si="43"/>
        <v>57.87</v>
      </c>
      <c r="K459" s="24">
        <v>7.6</v>
      </c>
      <c r="L459" s="25">
        <f t="shared" si="45"/>
        <v>65.47</v>
      </c>
    </row>
    <row r="460" spans="1:12">
      <c r="A460" s="27">
        <v>18</v>
      </c>
      <c r="B460" s="45">
        <v>200842062</v>
      </c>
      <c r="C460" s="56" t="s">
        <v>318</v>
      </c>
      <c r="D460" s="24">
        <v>13.13</v>
      </c>
      <c r="E460" s="24">
        <v>12.31</v>
      </c>
      <c r="F460" s="24">
        <v>10.46</v>
      </c>
      <c r="G460" s="24">
        <v>13.5</v>
      </c>
      <c r="H460" s="24">
        <v>12.19</v>
      </c>
      <c r="I460" s="24">
        <v>4.5</v>
      </c>
      <c r="J460" s="24">
        <f t="shared" si="43"/>
        <v>66.09</v>
      </c>
      <c r="K460" s="24">
        <v>9.5</v>
      </c>
      <c r="L460" s="25">
        <f t="shared" si="45"/>
        <v>75.59</v>
      </c>
    </row>
    <row r="461" spans="1:12">
      <c r="A461" s="27">
        <v>19</v>
      </c>
      <c r="B461" s="45">
        <v>200842072</v>
      </c>
      <c r="C461" s="56" t="s">
        <v>319</v>
      </c>
      <c r="D461" s="24">
        <v>10.28</v>
      </c>
      <c r="E461" s="24">
        <v>5.96</v>
      </c>
      <c r="F461" s="24">
        <v>4.8</v>
      </c>
      <c r="G461" s="24">
        <v>6.68</v>
      </c>
      <c r="H461" s="24">
        <v>11.01</v>
      </c>
      <c r="I461" s="24">
        <v>5</v>
      </c>
      <c r="J461" s="24">
        <f t="shared" si="43"/>
        <v>43.73</v>
      </c>
      <c r="K461" s="24">
        <v>7</v>
      </c>
      <c r="L461" s="25">
        <f t="shared" si="45"/>
        <v>50.73</v>
      </c>
    </row>
    <row r="462" spans="1:12">
      <c r="A462" s="27">
        <v>20</v>
      </c>
      <c r="B462" s="45">
        <v>200842078</v>
      </c>
      <c r="C462" s="56" t="s">
        <v>320</v>
      </c>
      <c r="D462" s="24">
        <v>6.98</v>
      </c>
      <c r="E462" s="24">
        <v>5.34</v>
      </c>
      <c r="F462" s="24">
        <v>5.03</v>
      </c>
      <c r="G462" s="24">
        <v>1.8</v>
      </c>
      <c r="H462" s="24">
        <v>5.05</v>
      </c>
      <c r="I462" s="24">
        <v>5</v>
      </c>
      <c r="J462" s="24">
        <f t="shared" si="43"/>
        <v>29.200000000000003</v>
      </c>
      <c r="K462" s="24" t="s">
        <v>475</v>
      </c>
      <c r="L462" s="25">
        <f>+J462</f>
        <v>29.200000000000003</v>
      </c>
    </row>
    <row r="463" spans="1:12">
      <c r="A463" s="27">
        <v>21</v>
      </c>
      <c r="B463" s="45">
        <v>200842088</v>
      </c>
      <c r="C463" s="59" t="s">
        <v>321</v>
      </c>
      <c r="D463" s="24">
        <v>4.13</v>
      </c>
      <c r="E463" s="24">
        <v>2.54</v>
      </c>
      <c r="F463" s="24">
        <v>4.1399999999999997</v>
      </c>
      <c r="G463" s="24">
        <v>1.05</v>
      </c>
      <c r="H463" s="24">
        <v>0</v>
      </c>
      <c r="I463" s="24">
        <v>1.75</v>
      </c>
      <c r="J463" s="24">
        <f t="shared" si="43"/>
        <v>13.61</v>
      </c>
      <c r="K463" s="24" t="s">
        <v>475</v>
      </c>
      <c r="L463" s="25">
        <f t="shared" ref="L463:L467" si="47">+J463</f>
        <v>13.61</v>
      </c>
    </row>
    <row r="464" spans="1:12">
      <c r="A464" s="27">
        <v>22</v>
      </c>
      <c r="B464" s="45">
        <v>200842091</v>
      </c>
      <c r="C464" s="60" t="s">
        <v>322</v>
      </c>
      <c r="D464" s="24">
        <v>3.45</v>
      </c>
      <c r="E464" s="24">
        <v>3.77</v>
      </c>
      <c r="F464" s="24">
        <v>3.15</v>
      </c>
      <c r="G464" s="24">
        <v>0</v>
      </c>
      <c r="H464" s="24">
        <v>0</v>
      </c>
      <c r="I464" s="24">
        <v>2.5</v>
      </c>
      <c r="J464" s="24">
        <f t="shared" si="43"/>
        <v>12.870000000000001</v>
      </c>
      <c r="K464" s="24" t="s">
        <v>475</v>
      </c>
      <c r="L464" s="25">
        <f t="shared" si="47"/>
        <v>12.870000000000001</v>
      </c>
    </row>
    <row r="465" spans="1:12">
      <c r="A465" s="27">
        <v>23</v>
      </c>
      <c r="B465" s="45">
        <v>200842106</v>
      </c>
      <c r="C465" s="56" t="s">
        <v>323</v>
      </c>
      <c r="D465" s="24">
        <v>3.3</v>
      </c>
      <c r="E465" s="24">
        <v>1.8</v>
      </c>
      <c r="F465" s="24">
        <v>2.13</v>
      </c>
      <c r="G465" s="24">
        <v>0.23</v>
      </c>
      <c r="H465" s="24">
        <v>0</v>
      </c>
      <c r="I465" s="24">
        <v>3</v>
      </c>
      <c r="J465" s="24">
        <f t="shared" si="43"/>
        <v>10.459999999999999</v>
      </c>
      <c r="K465" s="24" t="s">
        <v>475</v>
      </c>
      <c r="L465" s="25">
        <f t="shared" si="47"/>
        <v>10.459999999999999</v>
      </c>
    </row>
    <row r="466" spans="1:12">
      <c r="A466" s="27">
        <v>24</v>
      </c>
      <c r="B466" s="45">
        <v>200842108</v>
      </c>
      <c r="C466" s="56" t="s">
        <v>324</v>
      </c>
      <c r="D466" s="24">
        <v>6.83</v>
      </c>
      <c r="E466" s="24">
        <v>3.37</v>
      </c>
      <c r="F466" s="24">
        <v>5.18</v>
      </c>
      <c r="G466" s="24">
        <v>3.15</v>
      </c>
      <c r="H466" s="24">
        <v>0</v>
      </c>
      <c r="I466" s="24">
        <v>2.75</v>
      </c>
      <c r="J466" s="24">
        <f t="shared" si="43"/>
        <v>21.28</v>
      </c>
      <c r="K466" s="24" t="s">
        <v>475</v>
      </c>
      <c r="L466" s="25">
        <f t="shared" si="47"/>
        <v>21.28</v>
      </c>
    </row>
    <row r="467" spans="1:12">
      <c r="A467" s="27">
        <v>25</v>
      </c>
      <c r="B467" s="45">
        <v>200842128</v>
      </c>
      <c r="C467" s="58" t="s">
        <v>325</v>
      </c>
      <c r="D467" s="24">
        <v>5.0999999999999996</v>
      </c>
      <c r="E467" s="24">
        <v>2.85</v>
      </c>
      <c r="F467" s="24">
        <v>2.48</v>
      </c>
      <c r="G467" s="24">
        <v>0</v>
      </c>
      <c r="H467" s="24">
        <v>0</v>
      </c>
      <c r="I467" s="24">
        <v>2.5</v>
      </c>
      <c r="J467" s="24">
        <f t="shared" si="43"/>
        <v>12.93</v>
      </c>
      <c r="K467" s="24" t="s">
        <v>475</v>
      </c>
      <c r="L467" s="25">
        <f t="shared" si="47"/>
        <v>12.93</v>
      </c>
    </row>
    <row r="468" spans="1:12">
      <c r="A468" s="27">
        <v>26</v>
      </c>
      <c r="B468" s="45">
        <v>200842131</v>
      </c>
      <c r="C468" s="56" t="s">
        <v>326</v>
      </c>
      <c r="D468" s="24">
        <v>10.39</v>
      </c>
      <c r="E468" s="24">
        <v>12.05</v>
      </c>
      <c r="F468" s="24">
        <v>8.7200000000000006</v>
      </c>
      <c r="G468" s="24">
        <v>11.33</v>
      </c>
      <c r="H468" s="24">
        <v>8.92</v>
      </c>
      <c r="I468" s="24">
        <v>3</v>
      </c>
      <c r="J468" s="24">
        <f t="shared" si="43"/>
        <v>54.41</v>
      </c>
      <c r="K468" s="24">
        <v>7.1</v>
      </c>
      <c r="L468" s="25">
        <f t="shared" si="45"/>
        <v>61.51</v>
      </c>
    </row>
    <row r="469" spans="1:12">
      <c r="A469" s="27">
        <v>27</v>
      </c>
      <c r="B469" s="45">
        <v>200842133</v>
      </c>
      <c r="C469" s="56" t="s">
        <v>327</v>
      </c>
      <c r="D469" s="24">
        <v>2.59</v>
      </c>
      <c r="E469" s="24">
        <v>0</v>
      </c>
      <c r="F469" s="24">
        <v>0</v>
      </c>
      <c r="G469" s="24">
        <v>0</v>
      </c>
      <c r="H469" s="24">
        <v>0</v>
      </c>
      <c r="I469" s="24">
        <v>0.75</v>
      </c>
      <c r="J469" s="24">
        <f t="shared" si="43"/>
        <v>3.34</v>
      </c>
      <c r="K469" s="24" t="s">
        <v>475</v>
      </c>
      <c r="L469" s="25">
        <f>+J469</f>
        <v>3.34</v>
      </c>
    </row>
    <row r="470" spans="1:12">
      <c r="A470" s="27">
        <v>28</v>
      </c>
      <c r="B470" s="45">
        <v>200842211</v>
      </c>
      <c r="C470" s="56" t="s">
        <v>328</v>
      </c>
      <c r="D470" s="24">
        <v>7.05</v>
      </c>
      <c r="E470" s="24">
        <v>5.69</v>
      </c>
      <c r="F470" s="24">
        <v>5.62</v>
      </c>
      <c r="G470" s="24">
        <v>4.2</v>
      </c>
      <c r="H470" s="24">
        <v>8.2799999999999994</v>
      </c>
      <c r="I470" s="24">
        <v>4.75</v>
      </c>
      <c r="J470" s="24">
        <f t="shared" si="43"/>
        <v>35.590000000000003</v>
      </c>
      <c r="K470" s="24" t="s">
        <v>475</v>
      </c>
      <c r="L470" s="25">
        <f>+J470</f>
        <v>35.590000000000003</v>
      </c>
    </row>
    <row r="471" spans="1:12">
      <c r="A471" s="27">
        <v>29</v>
      </c>
      <c r="B471" s="45">
        <v>200842251</v>
      </c>
      <c r="C471" s="56" t="s">
        <v>329</v>
      </c>
      <c r="D471" s="24">
        <v>8.74</v>
      </c>
      <c r="E471" s="24">
        <v>10.66</v>
      </c>
      <c r="F471" s="24">
        <v>11.52</v>
      </c>
      <c r="G471" s="24">
        <v>12.38</v>
      </c>
      <c r="H471" s="24">
        <v>10.83</v>
      </c>
      <c r="I471" s="24">
        <v>5</v>
      </c>
      <c r="J471" s="24">
        <f t="shared" si="43"/>
        <v>59.13</v>
      </c>
      <c r="K471" s="24">
        <v>7.1</v>
      </c>
      <c r="L471" s="25">
        <f t="shared" si="45"/>
        <v>66.23</v>
      </c>
    </row>
    <row r="472" spans="1:12">
      <c r="A472" s="27">
        <v>30</v>
      </c>
      <c r="B472" s="45">
        <v>200843352</v>
      </c>
      <c r="C472" s="60" t="s">
        <v>330</v>
      </c>
      <c r="D472" s="24">
        <v>8.14</v>
      </c>
      <c r="E472" s="24">
        <v>6.05</v>
      </c>
      <c r="F472" s="24">
        <v>3.57</v>
      </c>
      <c r="G472" s="24">
        <v>2.0299999999999998</v>
      </c>
      <c r="H472" s="24">
        <v>0</v>
      </c>
      <c r="I472" s="24">
        <v>2.75</v>
      </c>
      <c r="J472" s="24">
        <f t="shared" si="43"/>
        <v>22.54</v>
      </c>
      <c r="K472" s="24" t="s">
        <v>475</v>
      </c>
      <c r="L472" s="25">
        <f>+J472</f>
        <v>22.54</v>
      </c>
    </row>
    <row r="473" spans="1:12">
      <c r="A473" s="27">
        <v>31</v>
      </c>
      <c r="B473" s="45">
        <v>200843401</v>
      </c>
      <c r="C473" s="56" t="s">
        <v>331</v>
      </c>
      <c r="D473" s="24">
        <v>1.95</v>
      </c>
      <c r="E473" s="24">
        <v>2.67</v>
      </c>
      <c r="F473" s="24">
        <v>2.25</v>
      </c>
      <c r="G473" s="24">
        <v>0.45</v>
      </c>
      <c r="H473" s="24">
        <v>0.3</v>
      </c>
      <c r="I473" s="24">
        <v>5</v>
      </c>
      <c r="J473" s="24">
        <f t="shared" si="43"/>
        <v>12.62</v>
      </c>
      <c r="K473" s="24" t="s">
        <v>475</v>
      </c>
      <c r="L473" s="25">
        <f t="shared" ref="L473:L475" si="48">+J473</f>
        <v>12.62</v>
      </c>
    </row>
    <row r="474" spans="1:12">
      <c r="A474" s="27">
        <v>32</v>
      </c>
      <c r="B474" s="45">
        <v>200843480</v>
      </c>
      <c r="C474" s="56" t="s">
        <v>332</v>
      </c>
      <c r="D474" s="24">
        <v>10.130000000000001</v>
      </c>
      <c r="E474" s="24">
        <v>5.72</v>
      </c>
      <c r="F474" s="24">
        <v>5.27</v>
      </c>
      <c r="G474" s="24">
        <v>2.63</v>
      </c>
      <c r="H474" s="24">
        <v>7.44</v>
      </c>
      <c r="I474" s="24">
        <v>4.75</v>
      </c>
      <c r="J474" s="24">
        <f t="shared" si="43"/>
        <v>35.94</v>
      </c>
      <c r="K474" s="24" t="s">
        <v>475</v>
      </c>
      <c r="L474" s="25">
        <f t="shared" si="48"/>
        <v>35.94</v>
      </c>
    </row>
    <row r="475" spans="1:12">
      <c r="A475" s="27">
        <v>33</v>
      </c>
      <c r="B475" s="45">
        <v>200844524</v>
      </c>
      <c r="C475" s="56" t="s">
        <v>333</v>
      </c>
      <c r="D475" s="24">
        <v>8.6300000000000008</v>
      </c>
      <c r="E475" s="24">
        <v>8.5500000000000007</v>
      </c>
      <c r="F475" s="24">
        <v>5.88</v>
      </c>
      <c r="G475" s="24">
        <v>5.55</v>
      </c>
      <c r="H475" s="24">
        <v>6.37</v>
      </c>
      <c r="I475" s="24">
        <v>5</v>
      </c>
      <c r="J475" s="24">
        <f t="shared" si="43"/>
        <v>39.980000000000004</v>
      </c>
      <c r="K475" s="24" t="s">
        <v>475</v>
      </c>
      <c r="L475" s="25">
        <f t="shared" si="48"/>
        <v>39.980000000000004</v>
      </c>
    </row>
    <row r="476" spans="1:12">
      <c r="A476" s="27">
        <v>34</v>
      </c>
      <c r="B476" s="45">
        <v>200940329</v>
      </c>
      <c r="C476" s="56" t="s">
        <v>334</v>
      </c>
      <c r="D476" s="24">
        <v>6.94</v>
      </c>
      <c r="E476" s="24">
        <v>6.99</v>
      </c>
      <c r="F476" s="24">
        <v>9.6300000000000008</v>
      </c>
      <c r="G476" s="24">
        <v>9.68</v>
      </c>
      <c r="H476" s="24">
        <v>9.25</v>
      </c>
      <c r="I476" s="24">
        <v>5</v>
      </c>
      <c r="J476" s="24">
        <f t="shared" si="43"/>
        <v>47.49</v>
      </c>
      <c r="K476" s="24">
        <v>6.4</v>
      </c>
      <c r="L476" s="25">
        <f t="shared" si="45"/>
        <v>53.89</v>
      </c>
    </row>
    <row r="477" spans="1:12">
      <c r="A477" s="27">
        <v>35</v>
      </c>
      <c r="B477" s="45">
        <v>200940434</v>
      </c>
      <c r="C477" s="60" t="s">
        <v>335</v>
      </c>
      <c r="D477" s="24">
        <v>6.38</v>
      </c>
      <c r="E477" s="24">
        <v>6.96</v>
      </c>
      <c r="F477" s="24">
        <v>10.17</v>
      </c>
      <c r="G477" s="24">
        <v>9.15</v>
      </c>
      <c r="H477" s="24">
        <v>10.65</v>
      </c>
      <c r="I477" s="24">
        <v>4.25</v>
      </c>
      <c r="J477" s="24">
        <f t="shared" si="43"/>
        <v>47.56</v>
      </c>
      <c r="K477" s="24">
        <v>9.8000000000000007</v>
      </c>
      <c r="L477" s="25">
        <f t="shared" si="45"/>
        <v>57.36</v>
      </c>
    </row>
    <row r="478" spans="1:12">
      <c r="A478" s="27">
        <v>36</v>
      </c>
      <c r="B478" s="37">
        <v>200940498</v>
      </c>
      <c r="C478" s="51" t="s">
        <v>336</v>
      </c>
      <c r="D478" s="24">
        <v>8.2899999999999991</v>
      </c>
      <c r="E478" s="24">
        <v>7.44</v>
      </c>
      <c r="F478" s="24">
        <v>4.95</v>
      </c>
      <c r="G478" s="24">
        <v>4.28</v>
      </c>
      <c r="H478" s="24">
        <v>6.39</v>
      </c>
      <c r="I478" s="24">
        <v>4.5</v>
      </c>
      <c r="J478" s="24">
        <f t="shared" si="43"/>
        <v>35.85</v>
      </c>
      <c r="K478" s="24" t="s">
        <v>475</v>
      </c>
      <c r="L478" s="25">
        <f>+J478</f>
        <v>35.85</v>
      </c>
    </row>
    <row r="479" spans="1:12">
      <c r="A479" s="27">
        <v>37</v>
      </c>
      <c r="B479" s="37">
        <v>200940524</v>
      </c>
      <c r="C479" s="53" t="s">
        <v>337</v>
      </c>
      <c r="D479" s="24">
        <v>9.15</v>
      </c>
      <c r="E479" s="24">
        <v>10.87</v>
      </c>
      <c r="F479" s="24">
        <v>10.09</v>
      </c>
      <c r="G479" s="24">
        <v>10.8</v>
      </c>
      <c r="H479" s="24">
        <v>10.23</v>
      </c>
      <c r="I479" s="24">
        <v>5</v>
      </c>
      <c r="J479" s="24">
        <f t="shared" si="43"/>
        <v>56.14</v>
      </c>
      <c r="K479" s="24">
        <v>10.199999999999999</v>
      </c>
      <c r="L479" s="25">
        <f t="shared" si="45"/>
        <v>66.34</v>
      </c>
    </row>
    <row r="480" spans="1:12">
      <c r="A480" s="27">
        <v>38</v>
      </c>
      <c r="B480" s="45">
        <v>200940708</v>
      </c>
      <c r="C480" s="56" t="s">
        <v>338</v>
      </c>
      <c r="D480" s="24">
        <v>4.54</v>
      </c>
      <c r="E480" s="24">
        <v>2.46</v>
      </c>
      <c r="F480" s="24">
        <v>1.46</v>
      </c>
      <c r="G480" s="24">
        <v>0</v>
      </c>
      <c r="H480" s="24">
        <v>0</v>
      </c>
      <c r="I480" s="24">
        <v>2.75</v>
      </c>
      <c r="J480" s="24">
        <f t="shared" si="43"/>
        <v>11.21</v>
      </c>
      <c r="K480" s="24" t="s">
        <v>475</v>
      </c>
      <c r="L480" s="25">
        <f>+J480</f>
        <v>11.21</v>
      </c>
    </row>
    <row r="481" spans="1:12">
      <c r="A481" s="27">
        <v>39</v>
      </c>
      <c r="B481" s="45">
        <v>200941405</v>
      </c>
      <c r="C481" s="56" t="s">
        <v>339</v>
      </c>
      <c r="D481" s="24">
        <v>4.24</v>
      </c>
      <c r="E481" s="24">
        <v>5.23</v>
      </c>
      <c r="F481" s="24">
        <v>5.04</v>
      </c>
      <c r="G481" s="24">
        <v>0.68</v>
      </c>
      <c r="H481" s="24">
        <v>0</v>
      </c>
      <c r="I481" s="24">
        <v>3.25</v>
      </c>
      <c r="J481" s="24">
        <f t="shared" si="43"/>
        <v>18.440000000000001</v>
      </c>
      <c r="K481" s="24" t="s">
        <v>475</v>
      </c>
      <c r="L481" s="25">
        <f t="shared" ref="L481:L482" si="49">+J481</f>
        <v>18.440000000000001</v>
      </c>
    </row>
    <row r="482" spans="1:12">
      <c r="A482" s="27">
        <v>40</v>
      </c>
      <c r="B482" s="57">
        <v>200941695</v>
      </c>
      <c r="C482" s="60" t="s">
        <v>340</v>
      </c>
      <c r="D482" s="24">
        <v>4.95</v>
      </c>
      <c r="E482" s="24">
        <v>6.18</v>
      </c>
      <c r="F482" s="24">
        <v>3.81</v>
      </c>
      <c r="G482" s="24">
        <v>0.83</v>
      </c>
      <c r="H482" s="24">
        <v>0</v>
      </c>
      <c r="I482" s="24">
        <v>3.75</v>
      </c>
      <c r="J482" s="24">
        <f t="shared" si="43"/>
        <v>19.52</v>
      </c>
      <c r="K482" s="24" t="s">
        <v>475</v>
      </c>
      <c r="L482" s="25">
        <f t="shared" si="49"/>
        <v>19.52</v>
      </c>
    </row>
    <row r="483" spans="1:12">
      <c r="A483" s="27">
        <v>41</v>
      </c>
      <c r="B483" s="45">
        <v>200942683</v>
      </c>
      <c r="C483" s="59" t="s">
        <v>341</v>
      </c>
      <c r="D483" s="24">
        <v>8.06</v>
      </c>
      <c r="E483" s="24">
        <v>8.18</v>
      </c>
      <c r="F483" s="24">
        <v>9.4499999999999993</v>
      </c>
      <c r="G483" s="24">
        <v>10.050000000000001</v>
      </c>
      <c r="H483" s="24">
        <v>10.35</v>
      </c>
      <c r="I483" s="24">
        <v>4.5</v>
      </c>
      <c r="J483" s="24">
        <f t="shared" si="43"/>
        <v>50.589999999999996</v>
      </c>
      <c r="K483" s="24">
        <v>8</v>
      </c>
      <c r="L483" s="25">
        <f t="shared" si="45"/>
        <v>58.589999999999996</v>
      </c>
    </row>
    <row r="484" spans="1:12">
      <c r="A484" s="27">
        <v>42</v>
      </c>
      <c r="B484" s="45">
        <v>200943123</v>
      </c>
      <c r="C484" s="56" t="s">
        <v>342</v>
      </c>
      <c r="D484" s="24">
        <v>4.24</v>
      </c>
      <c r="E484" s="24">
        <v>3.28</v>
      </c>
      <c r="F484" s="24">
        <v>4.8</v>
      </c>
      <c r="G484" s="24">
        <v>1.95</v>
      </c>
      <c r="H484" s="24">
        <v>0</v>
      </c>
      <c r="I484" s="24">
        <v>2</v>
      </c>
      <c r="J484" s="24">
        <f t="shared" si="43"/>
        <v>16.27</v>
      </c>
      <c r="K484" s="24" t="s">
        <v>475</v>
      </c>
      <c r="L484" s="25">
        <f>+J484</f>
        <v>16.27</v>
      </c>
    </row>
    <row r="485" spans="1:12">
      <c r="A485" s="27">
        <v>43</v>
      </c>
      <c r="B485" s="45">
        <v>200943127</v>
      </c>
      <c r="C485" s="59" t="s">
        <v>343</v>
      </c>
      <c r="D485" s="24">
        <v>7.31</v>
      </c>
      <c r="E485" s="24">
        <v>5.38</v>
      </c>
      <c r="F485" s="24">
        <v>5.7</v>
      </c>
      <c r="G485" s="24">
        <v>2.93</v>
      </c>
      <c r="H485" s="24">
        <v>0</v>
      </c>
      <c r="I485" s="24">
        <v>5</v>
      </c>
      <c r="J485" s="24">
        <f t="shared" si="43"/>
        <v>26.319999999999997</v>
      </c>
      <c r="K485" s="24" t="s">
        <v>475</v>
      </c>
      <c r="L485" s="25">
        <f t="shared" ref="L485:L505" si="50">+J485</f>
        <v>26.319999999999997</v>
      </c>
    </row>
    <row r="486" spans="1:12">
      <c r="A486" s="27">
        <v>44</v>
      </c>
      <c r="B486" s="45">
        <v>200943365</v>
      </c>
      <c r="C486" s="56" t="s">
        <v>344</v>
      </c>
      <c r="D486" s="24">
        <v>4.43</v>
      </c>
      <c r="E486" s="24">
        <v>3.11</v>
      </c>
      <c r="F486" s="24">
        <v>0</v>
      </c>
      <c r="G486" s="24">
        <v>0</v>
      </c>
      <c r="H486" s="24">
        <v>0</v>
      </c>
      <c r="I486" s="24">
        <v>2.25</v>
      </c>
      <c r="J486" s="24">
        <f t="shared" si="43"/>
        <v>9.7899999999999991</v>
      </c>
      <c r="K486" s="24" t="s">
        <v>475</v>
      </c>
      <c r="L486" s="25">
        <f t="shared" si="50"/>
        <v>9.7899999999999991</v>
      </c>
    </row>
    <row r="487" spans="1:12">
      <c r="A487" s="27">
        <v>45</v>
      </c>
      <c r="B487" s="45">
        <v>200943369</v>
      </c>
      <c r="C487" s="56" t="s">
        <v>345</v>
      </c>
      <c r="D487" s="24">
        <v>3.75</v>
      </c>
      <c r="E487" s="24">
        <v>3.62</v>
      </c>
      <c r="F487" s="24">
        <v>4.25</v>
      </c>
      <c r="G487" s="24">
        <v>0</v>
      </c>
      <c r="H487" s="24">
        <v>0</v>
      </c>
      <c r="I487" s="24">
        <v>3</v>
      </c>
      <c r="J487" s="24">
        <f t="shared" si="43"/>
        <v>14.620000000000001</v>
      </c>
      <c r="K487" s="24" t="s">
        <v>475</v>
      </c>
      <c r="L487" s="25">
        <f t="shared" si="50"/>
        <v>14.620000000000001</v>
      </c>
    </row>
    <row r="488" spans="1:12">
      <c r="A488" s="27">
        <v>46</v>
      </c>
      <c r="B488" s="45">
        <v>200943628</v>
      </c>
      <c r="C488" s="56" t="s">
        <v>346</v>
      </c>
      <c r="D488" s="24">
        <v>4.99</v>
      </c>
      <c r="E488" s="24">
        <v>5.47</v>
      </c>
      <c r="F488" s="24">
        <v>4.43</v>
      </c>
      <c r="G488" s="24">
        <v>6.15</v>
      </c>
      <c r="H488" s="24">
        <v>8.73</v>
      </c>
      <c r="I488" s="24">
        <v>5</v>
      </c>
      <c r="J488" s="24">
        <f t="shared" si="43"/>
        <v>34.770000000000003</v>
      </c>
      <c r="K488" s="24" t="s">
        <v>475</v>
      </c>
      <c r="L488" s="25">
        <f t="shared" si="50"/>
        <v>34.770000000000003</v>
      </c>
    </row>
    <row r="489" spans="1:12">
      <c r="A489" s="27">
        <v>47</v>
      </c>
      <c r="B489" s="45">
        <v>200943630</v>
      </c>
      <c r="C489" s="56" t="s">
        <v>347</v>
      </c>
      <c r="D489" s="24">
        <v>3.15</v>
      </c>
      <c r="E489" s="24">
        <v>2.71</v>
      </c>
      <c r="F489" s="24">
        <v>2.3199999999999998</v>
      </c>
      <c r="G489" s="24">
        <v>0</v>
      </c>
      <c r="H489" s="24">
        <v>0</v>
      </c>
      <c r="I489" s="24">
        <v>2.25</v>
      </c>
      <c r="J489" s="24">
        <f t="shared" si="43"/>
        <v>10.43</v>
      </c>
      <c r="K489" s="24" t="s">
        <v>475</v>
      </c>
      <c r="L489" s="25">
        <f t="shared" si="50"/>
        <v>10.43</v>
      </c>
    </row>
    <row r="490" spans="1:12">
      <c r="A490" s="27">
        <v>48</v>
      </c>
      <c r="B490" s="45">
        <v>200943634</v>
      </c>
      <c r="C490" s="56" t="s">
        <v>348</v>
      </c>
      <c r="D490" s="24">
        <v>2.85</v>
      </c>
      <c r="E490" s="24">
        <v>2.65</v>
      </c>
      <c r="F490" s="24">
        <f>G490</f>
        <v>0</v>
      </c>
      <c r="G490" s="24">
        <v>0</v>
      </c>
      <c r="H490" s="24">
        <v>0</v>
      </c>
      <c r="I490" s="24">
        <v>2.5</v>
      </c>
      <c r="J490" s="24">
        <f t="shared" si="43"/>
        <v>8</v>
      </c>
      <c r="K490" s="24" t="s">
        <v>475</v>
      </c>
      <c r="L490" s="25">
        <f t="shared" si="50"/>
        <v>8</v>
      </c>
    </row>
    <row r="491" spans="1:12">
      <c r="A491" s="27">
        <v>49</v>
      </c>
      <c r="B491" s="45">
        <v>200943637</v>
      </c>
      <c r="C491" s="56" t="s">
        <v>349</v>
      </c>
      <c r="D491" s="24">
        <v>7.95</v>
      </c>
      <c r="E491" s="24">
        <v>7.12</v>
      </c>
      <c r="F491" s="24">
        <v>8.0399999999999991</v>
      </c>
      <c r="G491" s="24">
        <v>4.7300000000000004</v>
      </c>
      <c r="H491" s="24">
        <v>6.1</v>
      </c>
      <c r="I491" s="24">
        <v>5</v>
      </c>
      <c r="J491" s="24">
        <f t="shared" si="43"/>
        <v>38.94</v>
      </c>
      <c r="K491" s="24" t="s">
        <v>475</v>
      </c>
      <c r="L491" s="25">
        <f t="shared" si="50"/>
        <v>38.94</v>
      </c>
    </row>
    <row r="492" spans="1:12">
      <c r="A492" s="27">
        <v>50</v>
      </c>
      <c r="B492" s="45">
        <v>200943640</v>
      </c>
      <c r="C492" s="56" t="s">
        <v>350</v>
      </c>
      <c r="D492" s="24">
        <v>2.7</v>
      </c>
      <c r="E492" s="24">
        <v>2.8</v>
      </c>
      <c r="F492" s="24">
        <v>0.45</v>
      </c>
      <c r="G492" s="24">
        <v>0.23</v>
      </c>
      <c r="H492" s="24">
        <v>0</v>
      </c>
      <c r="I492" s="24">
        <v>3.25</v>
      </c>
      <c r="J492" s="24">
        <f t="shared" si="43"/>
        <v>9.43</v>
      </c>
      <c r="K492" s="24" t="s">
        <v>475</v>
      </c>
      <c r="L492" s="25">
        <f t="shared" si="50"/>
        <v>9.43</v>
      </c>
    </row>
    <row r="493" spans="1:12">
      <c r="A493" s="27">
        <v>51</v>
      </c>
      <c r="B493" s="45">
        <v>200943641</v>
      </c>
      <c r="C493" s="56" t="s">
        <v>351</v>
      </c>
      <c r="D493" s="24">
        <v>5.03</v>
      </c>
      <c r="E493" s="24">
        <v>1.22</v>
      </c>
      <c r="F493" s="24">
        <v>1.68</v>
      </c>
      <c r="G493" s="24">
        <v>0</v>
      </c>
      <c r="H493" s="24">
        <v>0</v>
      </c>
      <c r="I493" s="24">
        <v>3</v>
      </c>
      <c r="J493" s="24">
        <f t="shared" si="43"/>
        <v>10.93</v>
      </c>
      <c r="K493" s="24" t="s">
        <v>475</v>
      </c>
      <c r="L493" s="25">
        <f t="shared" si="50"/>
        <v>10.93</v>
      </c>
    </row>
    <row r="494" spans="1:12">
      <c r="A494" s="27">
        <v>52</v>
      </c>
      <c r="B494" s="45">
        <v>200943691</v>
      </c>
      <c r="C494" s="56" t="s">
        <v>352</v>
      </c>
      <c r="D494" s="24">
        <v>4.54</v>
      </c>
      <c r="E494" s="24">
        <v>3.98</v>
      </c>
      <c r="F494" s="24">
        <v>1.8</v>
      </c>
      <c r="G494" s="24">
        <v>0.45</v>
      </c>
      <c r="H494" s="24">
        <v>0</v>
      </c>
      <c r="I494" s="24">
        <v>2.75</v>
      </c>
      <c r="J494" s="24">
        <f t="shared" si="43"/>
        <v>13.52</v>
      </c>
      <c r="K494" s="24" t="s">
        <v>475</v>
      </c>
      <c r="L494" s="25">
        <f t="shared" si="50"/>
        <v>13.52</v>
      </c>
    </row>
    <row r="495" spans="1:12">
      <c r="A495" s="27">
        <v>53</v>
      </c>
      <c r="B495" s="45">
        <v>200943700</v>
      </c>
      <c r="C495" s="56" t="s">
        <v>353</v>
      </c>
      <c r="D495" s="24">
        <v>5.78</v>
      </c>
      <c r="E495" s="24">
        <v>6.17</v>
      </c>
      <c r="F495" s="24">
        <v>8.4</v>
      </c>
      <c r="G495" s="24">
        <v>4.7300000000000004</v>
      </c>
      <c r="H495" s="24">
        <v>9.94</v>
      </c>
      <c r="I495" s="24">
        <v>4.5</v>
      </c>
      <c r="J495" s="24">
        <f t="shared" si="43"/>
        <v>39.520000000000003</v>
      </c>
      <c r="K495" s="24" t="s">
        <v>475</v>
      </c>
      <c r="L495" s="25">
        <f t="shared" si="50"/>
        <v>39.520000000000003</v>
      </c>
    </row>
    <row r="496" spans="1:12">
      <c r="A496" s="27">
        <v>54</v>
      </c>
      <c r="B496" s="45">
        <v>200943793</v>
      </c>
      <c r="C496" s="56" t="s">
        <v>354</v>
      </c>
      <c r="D496" s="24">
        <v>5.7</v>
      </c>
      <c r="E496" s="24">
        <v>3.79</v>
      </c>
      <c r="F496" s="24">
        <v>4.16</v>
      </c>
      <c r="G496" s="24">
        <v>1.58</v>
      </c>
      <c r="H496" s="24">
        <v>0</v>
      </c>
      <c r="I496" s="24">
        <v>5</v>
      </c>
      <c r="J496" s="24">
        <f t="shared" si="43"/>
        <v>20.23</v>
      </c>
      <c r="K496" s="24" t="s">
        <v>475</v>
      </c>
      <c r="L496" s="25">
        <f t="shared" si="50"/>
        <v>20.23</v>
      </c>
    </row>
    <row r="497" spans="1:12">
      <c r="A497" s="27">
        <v>55</v>
      </c>
      <c r="B497" s="45">
        <v>200943840</v>
      </c>
      <c r="C497" s="56" t="s">
        <v>355</v>
      </c>
      <c r="D497" s="24">
        <v>4.6100000000000003</v>
      </c>
      <c r="E497" s="24">
        <v>2.88</v>
      </c>
      <c r="F497" s="24">
        <v>3.38</v>
      </c>
      <c r="G497" s="24">
        <v>1.28</v>
      </c>
      <c r="H497" s="24">
        <v>0</v>
      </c>
      <c r="I497" s="24">
        <v>2.25</v>
      </c>
      <c r="J497" s="24">
        <f t="shared" si="43"/>
        <v>14.399999999999999</v>
      </c>
      <c r="K497" s="24" t="s">
        <v>475</v>
      </c>
      <c r="L497" s="25">
        <f t="shared" si="50"/>
        <v>14.399999999999999</v>
      </c>
    </row>
    <row r="498" spans="1:12">
      <c r="A498" s="27">
        <v>56</v>
      </c>
      <c r="B498" s="45">
        <v>200944056</v>
      </c>
      <c r="C498" s="56" t="s">
        <v>356</v>
      </c>
      <c r="D498" s="24">
        <v>4.8</v>
      </c>
      <c r="E498" s="24">
        <v>5.0599999999999996</v>
      </c>
      <c r="F498" s="24">
        <v>5</v>
      </c>
      <c r="G498" s="24">
        <v>2.93</v>
      </c>
      <c r="H498" s="24">
        <v>0</v>
      </c>
      <c r="I498" s="24">
        <v>3.5</v>
      </c>
      <c r="J498" s="24">
        <f t="shared" si="43"/>
        <v>21.29</v>
      </c>
      <c r="K498" s="24" t="s">
        <v>475</v>
      </c>
      <c r="L498" s="25">
        <f t="shared" si="50"/>
        <v>21.29</v>
      </c>
    </row>
    <row r="499" spans="1:12">
      <c r="A499" s="27">
        <v>57</v>
      </c>
      <c r="B499" s="45">
        <v>200944097</v>
      </c>
      <c r="C499" s="56" t="s">
        <v>357</v>
      </c>
      <c r="D499" s="62">
        <v>6</v>
      </c>
      <c r="E499" s="62">
        <v>4.67</v>
      </c>
      <c r="F499" s="62">
        <v>5.15</v>
      </c>
      <c r="G499" s="24">
        <v>8.25</v>
      </c>
      <c r="H499" s="24">
        <v>0</v>
      </c>
      <c r="I499" s="24">
        <v>5</v>
      </c>
      <c r="J499" s="24">
        <f t="shared" si="43"/>
        <v>29.07</v>
      </c>
      <c r="K499" s="24" t="s">
        <v>475</v>
      </c>
      <c r="L499" s="25">
        <f t="shared" si="50"/>
        <v>29.07</v>
      </c>
    </row>
    <row r="500" spans="1:12">
      <c r="A500" s="27">
        <v>58</v>
      </c>
      <c r="B500" s="45">
        <v>200944241</v>
      </c>
      <c r="C500" s="56" t="s">
        <v>358</v>
      </c>
      <c r="D500" s="24">
        <v>7.69</v>
      </c>
      <c r="E500" s="24">
        <v>4.0199999999999996</v>
      </c>
      <c r="F500" s="24">
        <v>4.71</v>
      </c>
      <c r="G500" s="24">
        <v>3.15</v>
      </c>
      <c r="H500" s="24">
        <v>2.4</v>
      </c>
      <c r="I500" s="24">
        <v>5</v>
      </c>
      <c r="J500" s="24">
        <f t="shared" si="43"/>
        <v>26.970000000000002</v>
      </c>
      <c r="K500" s="24" t="s">
        <v>475</v>
      </c>
      <c r="L500" s="25">
        <f t="shared" si="50"/>
        <v>26.970000000000002</v>
      </c>
    </row>
    <row r="501" spans="1:12">
      <c r="A501" s="27">
        <v>59</v>
      </c>
      <c r="B501" s="45">
        <v>200944435</v>
      </c>
      <c r="C501" s="60" t="s">
        <v>359</v>
      </c>
      <c r="D501" s="24">
        <v>6</v>
      </c>
      <c r="E501" s="24">
        <v>3.03</v>
      </c>
      <c r="F501" s="24">
        <v>1.8</v>
      </c>
      <c r="G501" s="24">
        <v>0</v>
      </c>
      <c r="H501" s="24">
        <v>0</v>
      </c>
      <c r="I501" s="24">
        <v>3.25</v>
      </c>
      <c r="J501" s="24">
        <f t="shared" si="43"/>
        <v>14.08</v>
      </c>
      <c r="K501" s="24" t="s">
        <v>475</v>
      </c>
      <c r="L501" s="25">
        <f t="shared" si="50"/>
        <v>14.08</v>
      </c>
    </row>
    <row r="502" spans="1:12">
      <c r="A502" s="27">
        <v>60</v>
      </c>
      <c r="B502" s="45">
        <v>200944452</v>
      </c>
      <c r="C502" s="56" t="s">
        <v>360</v>
      </c>
      <c r="D502" s="24">
        <v>3.79</v>
      </c>
      <c r="E502" s="24">
        <v>2.76</v>
      </c>
      <c r="F502" s="24">
        <v>3.81</v>
      </c>
      <c r="G502" s="24">
        <v>0.6</v>
      </c>
      <c r="H502" s="24">
        <v>0</v>
      </c>
      <c r="I502" s="24">
        <v>4.25</v>
      </c>
      <c r="J502" s="24">
        <f t="shared" si="43"/>
        <v>15.21</v>
      </c>
      <c r="K502" s="24" t="s">
        <v>475</v>
      </c>
      <c r="L502" s="25">
        <f t="shared" si="50"/>
        <v>15.21</v>
      </c>
    </row>
    <row r="503" spans="1:12">
      <c r="A503" s="27">
        <v>61</v>
      </c>
      <c r="B503" s="45">
        <v>200944938</v>
      </c>
      <c r="C503" s="60" t="s">
        <v>361</v>
      </c>
      <c r="D503" s="24">
        <v>6.45</v>
      </c>
      <c r="E503" s="24">
        <v>4.2300000000000004</v>
      </c>
      <c r="F503" s="24">
        <v>5.82</v>
      </c>
      <c r="G503" s="24">
        <v>2.93</v>
      </c>
      <c r="H503" s="24">
        <v>0</v>
      </c>
      <c r="I503" s="24">
        <v>4.5</v>
      </c>
      <c r="J503" s="24">
        <f t="shared" ref="J503:J505" si="51">+I503+H503+G503+F503+E503+D503</f>
        <v>23.93</v>
      </c>
      <c r="K503" s="24" t="s">
        <v>475</v>
      </c>
      <c r="L503" s="25">
        <f t="shared" si="50"/>
        <v>23.93</v>
      </c>
    </row>
    <row r="504" spans="1:12">
      <c r="A504" s="27">
        <v>62</v>
      </c>
      <c r="B504" s="45">
        <v>200944985</v>
      </c>
      <c r="C504" s="60" t="s">
        <v>362</v>
      </c>
      <c r="D504" s="24">
        <v>4.2</v>
      </c>
      <c r="E504" s="24">
        <v>2.89</v>
      </c>
      <c r="F504" s="24">
        <v>3.15</v>
      </c>
      <c r="G504" s="24">
        <v>0.9</v>
      </c>
      <c r="H504" s="24">
        <v>0</v>
      </c>
      <c r="I504" s="24">
        <v>4.75</v>
      </c>
      <c r="J504" s="24">
        <f t="shared" si="51"/>
        <v>15.89</v>
      </c>
      <c r="K504" s="24" t="s">
        <v>475</v>
      </c>
      <c r="L504" s="25">
        <f t="shared" si="50"/>
        <v>15.89</v>
      </c>
    </row>
    <row r="505" spans="1:12">
      <c r="A505" s="27">
        <v>63</v>
      </c>
      <c r="B505" s="45">
        <v>200946113</v>
      </c>
      <c r="C505" s="56" t="s">
        <v>363</v>
      </c>
      <c r="D505" s="24">
        <v>4.2</v>
      </c>
      <c r="E505" s="24">
        <v>3.31</v>
      </c>
      <c r="F505" s="24">
        <v>2.81</v>
      </c>
      <c r="G505" s="24">
        <v>1.5</v>
      </c>
      <c r="H505" s="24">
        <v>0</v>
      </c>
      <c r="I505" s="24">
        <v>3.5</v>
      </c>
      <c r="J505" s="24">
        <f t="shared" si="51"/>
        <v>15.32</v>
      </c>
      <c r="K505" s="24" t="s">
        <v>475</v>
      </c>
      <c r="L505" s="25">
        <f t="shared" si="50"/>
        <v>15.32</v>
      </c>
    </row>
    <row r="506" spans="1:12">
      <c r="A506" s="29"/>
      <c r="B506" s="29"/>
      <c r="C506" s="30"/>
      <c r="D506" s="31"/>
      <c r="E506" s="31"/>
      <c r="F506" s="31"/>
      <c r="G506" s="31"/>
      <c r="H506" s="31"/>
      <c r="I506" s="31"/>
      <c r="J506" s="31"/>
      <c r="K506" s="31"/>
      <c r="L506" s="32"/>
    </row>
    <row r="507" spans="1:12">
      <c r="A507" s="29"/>
      <c r="B507" s="29"/>
      <c r="C507" s="30"/>
      <c r="D507" s="31"/>
      <c r="E507" s="31"/>
      <c r="F507" s="31"/>
      <c r="G507" s="31"/>
      <c r="H507" s="31"/>
      <c r="I507" s="31"/>
      <c r="J507" s="31"/>
      <c r="K507" s="31"/>
      <c r="L507" s="32"/>
    </row>
    <row r="508" spans="1:12" ht="17.25" thickBot="1">
      <c r="A508" s="33"/>
      <c r="B508" s="33"/>
      <c r="C508" s="34"/>
      <c r="D508" s="31"/>
      <c r="E508" s="31"/>
      <c r="F508" s="31"/>
      <c r="G508" s="31"/>
      <c r="H508" s="35"/>
      <c r="I508" s="35"/>
      <c r="J508" s="35"/>
      <c r="K508" s="9"/>
      <c r="L508" s="32"/>
    </row>
    <row r="509" spans="1:12">
      <c r="H509" s="100" t="s">
        <v>101</v>
      </c>
      <c r="I509" s="100"/>
      <c r="J509" s="100"/>
      <c r="L509" s="1"/>
    </row>
    <row r="510" spans="1:12">
      <c r="D510" s="36"/>
      <c r="H510" s="100" t="s">
        <v>21</v>
      </c>
      <c r="I510" s="100"/>
      <c r="J510" s="100"/>
      <c r="L510" s="1"/>
    </row>
    <row r="511" spans="1:12">
      <c r="D511" s="36"/>
      <c r="H511" s="100" t="s">
        <v>97</v>
      </c>
      <c r="I511" s="100"/>
      <c r="J511" s="100"/>
      <c r="L511" s="1"/>
    </row>
  </sheetData>
  <mergeCells count="18">
    <mergeCell ref="H511:J511"/>
    <mergeCell ref="H83:J83"/>
    <mergeCell ref="H84:J84"/>
    <mergeCell ref="H85:J85"/>
    <mergeCell ref="H168:J168"/>
    <mergeCell ref="H169:J169"/>
    <mergeCell ref="H170:J170"/>
    <mergeCell ref="H420:J420"/>
    <mergeCell ref="H421:J421"/>
    <mergeCell ref="H422:J422"/>
    <mergeCell ref="H509:J509"/>
    <mergeCell ref="H252:J252"/>
    <mergeCell ref="H253:J253"/>
    <mergeCell ref="H254:J254"/>
    <mergeCell ref="H340:J340"/>
    <mergeCell ref="H341:J341"/>
    <mergeCell ref="H342:J342"/>
    <mergeCell ref="H510:J510"/>
  </mergeCells>
  <pageMargins left="0.19685039370078741" right="0.19685039370078741" top="0.23622047244094491" bottom="0.55118110236220474" header="0.11811023622047245" footer="0.15748031496062992"/>
  <pageSetup paperSize="129" scale="80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L496"/>
  <sheetViews>
    <sheetView workbookViewId="0">
      <selection activeCell="K14" sqref="K14"/>
    </sheetView>
  </sheetViews>
  <sheetFormatPr baseColWidth="10" defaultRowHeight="16.5"/>
  <cols>
    <col min="1" max="1" width="4.140625" style="2" customWidth="1"/>
    <col min="2" max="2" width="10" style="2" bestFit="1" customWidth="1"/>
    <col min="3" max="3" width="35" style="2" bestFit="1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13.42578125" style="2" customWidth="1"/>
    <col min="10" max="10" width="12.85546875" style="2" bestFit="1" customWidth="1"/>
    <col min="11" max="11" width="14.42578125" style="2" bestFit="1" customWidth="1"/>
    <col min="12" max="12" width="7.5703125" style="2" bestFit="1" customWidth="1"/>
    <col min="13" max="16384" width="11.42578125" style="2"/>
  </cols>
  <sheetData>
    <row r="1" spans="1:12" ht="17.25" thickBot="1">
      <c r="A1" s="1" t="s">
        <v>0</v>
      </c>
      <c r="I1" s="3"/>
    </row>
    <row r="2" spans="1:12">
      <c r="A2" s="1" t="s">
        <v>1</v>
      </c>
      <c r="F2" s="4"/>
      <c r="G2" s="5"/>
      <c r="H2" s="6"/>
      <c r="I2" s="7"/>
    </row>
    <row r="3" spans="1:12">
      <c r="A3" s="8" t="s">
        <v>2</v>
      </c>
      <c r="B3" s="9"/>
      <c r="E3" s="7"/>
      <c r="F3" s="10"/>
      <c r="G3" s="11"/>
      <c r="H3" s="12"/>
      <c r="I3" s="7"/>
    </row>
    <row r="4" spans="1:12" ht="17.25" thickBot="1">
      <c r="A4" s="13" t="s">
        <v>3</v>
      </c>
      <c r="B4" s="9"/>
      <c r="E4" s="7"/>
      <c r="F4" s="10"/>
      <c r="G4" s="11"/>
      <c r="H4" s="12"/>
      <c r="I4" s="7"/>
    </row>
    <row r="5" spans="1:12" ht="17.25" thickBot="1">
      <c r="A5" s="14" t="s">
        <v>22</v>
      </c>
      <c r="B5" s="15"/>
      <c r="C5" s="16"/>
      <c r="E5" s="7"/>
      <c r="F5" s="17"/>
      <c r="G5" s="18"/>
      <c r="H5" s="19"/>
      <c r="I5" s="7"/>
    </row>
    <row r="6" spans="1:12">
      <c r="A6" s="8"/>
      <c r="B6" s="9"/>
      <c r="E6" s="7"/>
      <c r="I6" s="3"/>
    </row>
    <row r="7" spans="1:12">
      <c r="A7" s="1" t="s">
        <v>91</v>
      </c>
      <c r="B7" s="9"/>
      <c r="C7" s="20" t="s">
        <v>92</v>
      </c>
      <c r="E7" s="7"/>
      <c r="I7" s="3"/>
    </row>
    <row r="8" spans="1:12">
      <c r="A8" s="1" t="s">
        <v>4</v>
      </c>
      <c r="C8" s="20" t="s">
        <v>437</v>
      </c>
      <c r="I8" s="3"/>
    </row>
    <row r="9" spans="1:12">
      <c r="A9" s="1" t="s">
        <v>5</v>
      </c>
      <c r="C9" s="20" t="s">
        <v>438</v>
      </c>
    </row>
    <row r="10" spans="1:12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2">
      <c r="A11" s="1"/>
      <c r="C11" s="22" t="s">
        <v>6</v>
      </c>
      <c r="D11" s="22" t="s">
        <v>441</v>
      </c>
      <c r="E11" s="22" t="s">
        <v>441</v>
      </c>
      <c r="F11" s="22" t="s">
        <v>441</v>
      </c>
      <c r="G11" s="22" t="s">
        <v>441</v>
      </c>
      <c r="H11" s="22" t="s">
        <v>441</v>
      </c>
      <c r="I11" s="22" t="s">
        <v>442</v>
      </c>
      <c r="J11" s="22" t="s">
        <v>8</v>
      </c>
      <c r="K11" s="22" t="s">
        <v>7</v>
      </c>
      <c r="L11" s="22" t="s">
        <v>9</v>
      </c>
    </row>
    <row r="12" spans="1:12">
      <c r="A12" s="22" t="s">
        <v>10</v>
      </c>
      <c r="B12" s="22" t="s">
        <v>11</v>
      </c>
      <c r="C12" s="22" t="s">
        <v>12</v>
      </c>
      <c r="D12" s="22" t="s">
        <v>13</v>
      </c>
      <c r="E12" s="22" t="s">
        <v>14</v>
      </c>
      <c r="F12" s="22" t="s">
        <v>15</v>
      </c>
      <c r="G12" s="22" t="s">
        <v>16</v>
      </c>
      <c r="H12" s="22" t="s">
        <v>17</v>
      </c>
      <c r="I12" s="22" t="s">
        <v>95</v>
      </c>
      <c r="J12" s="22" t="s">
        <v>18</v>
      </c>
      <c r="K12" s="22" t="s">
        <v>19</v>
      </c>
      <c r="L12" s="22" t="s">
        <v>20</v>
      </c>
    </row>
    <row r="13" spans="1:12">
      <c r="A13" s="23">
        <v>1</v>
      </c>
      <c r="B13" s="45">
        <v>200140217</v>
      </c>
      <c r="C13" s="56" t="s">
        <v>24</v>
      </c>
      <c r="D13" s="24">
        <v>7.84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f>+I13+H13+G13+F13+E13+D13</f>
        <v>7.84</v>
      </c>
      <c r="K13" s="24" t="s">
        <v>475</v>
      </c>
      <c r="L13" s="25">
        <f>+J13</f>
        <v>7.84</v>
      </c>
    </row>
    <row r="14" spans="1:12">
      <c r="A14" s="26">
        <v>2</v>
      </c>
      <c r="B14" s="45">
        <v>200710799</v>
      </c>
      <c r="C14" s="56" t="s">
        <v>25</v>
      </c>
      <c r="D14" s="24">
        <v>7.14</v>
      </c>
      <c r="E14" s="24">
        <v>7.28</v>
      </c>
      <c r="F14" s="24">
        <v>8.5399999999999991</v>
      </c>
      <c r="G14" s="24">
        <v>4.4800000000000004</v>
      </c>
      <c r="H14" s="24">
        <v>7.28</v>
      </c>
      <c r="I14" s="24">
        <v>9.83</v>
      </c>
      <c r="J14" s="24">
        <f t="shared" ref="J14:J76" si="0">+I14+H14+G14+F14+E14+D14</f>
        <v>44.55</v>
      </c>
      <c r="K14" s="24">
        <v>3.2</v>
      </c>
      <c r="L14" s="25">
        <f t="shared" ref="L14:L70" si="1">+K14+J14</f>
        <v>47.75</v>
      </c>
    </row>
    <row r="15" spans="1:12">
      <c r="A15" s="27">
        <v>3</v>
      </c>
      <c r="B15" s="45">
        <v>200741736</v>
      </c>
      <c r="C15" s="60" t="s">
        <v>26</v>
      </c>
      <c r="D15" s="24">
        <v>7.7</v>
      </c>
      <c r="E15" s="24">
        <v>6.3</v>
      </c>
      <c r="F15" s="24">
        <v>9.1</v>
      </c>
      <c r="G15" s="24">
        <v>8.1199999999999992</v>
      </c>
      <c r="H15" s="24">
        <f>7.42-0.7</f>
        <v>6.72</v>
      </c>
      <c r="I15" s="24">
        <v>9.2799999999999994</v>
      </c>
      <c r="J15" s="24">
        <v>47.92</v>
      </c>
      <c r="K15" s="24">
        <v>5.6</v>
      </c>
      <c r="L15" s="25">
        <f t="shared" si="1"/>
        <v>53.52</v>
      </c>
    </row>
    <row r="16" spans="1:12">
      <c r="A16" s="26">
        <v>4</v>
      </c>
      <c r="B16" s="57">
        <v>200742316</v>
      </c>
      <c r="C16" s="56" t="s">
        <v>28</v>
      </c>
      <c r="D16" s="24">
        <v>2.94</v>
      </c>
      <c r="E16" s="24">
        <v>3.5</v>
      </c>
      <c r="F16" s="24">
        <v>3.78</v>
      </c>
      <c r="G16" s="24">
        <v>1.4</v>
      </c>
      <c r="H16" s="24">
        <v>0</v>
      </c>
      <c r="I16" s="24">
        <v>6.11</v>
      </c>
      <c r="J16" s="24">
        <f t="shared" si="0"/>
        <v>17.73</v>
      </c>
      <c r="K16" s="24" t="s">
        <v>475</v>
      </c>
      <c r="L16" s="25">
        <f>+J16</f>
        <v>17.73</v>
      </c>
    </row>
    <row r="17" spans="1:12">
      <c r="A17" s="26">
        <v>5</v>
      </c>
      <c r="B17" s="45">
        <v>200742534</v>
      </c>
      <c r="C17" s="56" t="s">
        <v>29</v>
      </c>
      <c r="D17" s="24">
        <v>4.9000000000000004</v>
      </c>
      <c r="E17" s="24">
        <v>7.56</v>
      </c>
      <c r="F17" s="24">
        <v>9.3800000000000008</v>
      </c>
      <c r="G17" s="24">
        <v>5.6</v>
      </c>
      <c r="H17" s="24">
        <v>8.82</v>
      </c>
      <c r="I17" s="24">
        <f>2+1.49+0.82+1+1.6+1.5</f>
        <v>8.41</v>
      </c>
      <c r="J17" s="24">
        <f t="shared" si="0"/>
        <v>44.67</v>
      </c>
      <c r="K17" s="24">
        <v>3.2</v>
      </c>
      <c r="L17" s="25">
        <f t="shared" si="1"/>
        <v>47.870000000000005</v>
      </c>
    </row>
    <row r="18" spans="1:12">
      <c r="A18" s="26">
        <v>6</v>
      </c>
      <c r="B18" s="45">
        <v>200742629</v>
      </c>
      <c r="C18" s="56" t="s">
        <v>30</v>
      </c>
      <c r="D18" s="24">
        <v>6.44</v>
      </c>
      <c r="E18" s="24">
        <v>8.5399999999999991</v>
      </c>
      <c r="F18" s="24">
        <v>7.56</v>
      </c>
      <c r="G18" s="24">
        <v>7.56</v>
      </c>
      <c r="H18" s="24">
        <v>7.28</v>
      </c>
      <c r="I18" s="24">
        <f>2+1.54+0.76+1+1.6+1.5</f>
        <v>8.4</v>
      </c>
      <c r="J18" s="24">
        <f t="shared" si="0"/>
        <v>45.779999999999994</v>
      </c>
      <c r="K18" s="24">
        <v>6.6</v>
      </c>
      <c r="L18" s="25">
        <f t="shared" si="1"/>
        <v>52.379999999999995</v>
      </c>
    </row>
    <row r="19" spans="1:12">
      <c r="A19" s="26">
        <v>7</v>
      </c>
      <c r="B19" s="45">
        <v>200742767</v>
      </c>
      <c r="C19" s="56" t="s">
        <v>31</v>
      </c>
      <c r="D19" s="24">
        <v>5.6</v>
      </c>
      <c r="E19" s="24">
        <v>9.52</v>
      </c>
      <c r="F19" s="24">
        <v>9.1</v>
      </c>
      <c r="G19" s="24">
        <v>5.04</v>
      </c>
      <c r="H19" s="24">
        <v>7</v>
      </c>
      <c r="I19" s="24">
        <f>2+1.52+0.75+1+1.5</f>
        <v>6.77</v>
      </c>
      <c r="J19" s="24">
        <f t="shared" si="0"/>
        <v>43.029999999999994</v>
      </c>
      <c r="K19" s="24">
        <v>3.4</v>
      </c>
      <c r="L19" s="25">
        <f t="shared" si="1"/>
        <v>46.429999999999993</v>
      </c>
    </row>
    <row r="20" spans="1:12">
      <c r="A20" s="26">
        <v>8</v>
      </c>
      <c r="B20" s="57">
        <v>200742782</v>
      </c>
      <c r="C20" s="56" t="s">
        <v>32</v>
      </c>
      <c r="D20" s="24">
        <v>7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f t="shared" si="0"/>
        <v>7</v>
      </c>
      <c r="K20" s="24" t="s">
        <v>475</v>
      </c>
      <c r="L20" s="25">
        <f>+J20</f>
        <v>7</v>
      </c>
    </row>
    <row r="21" spans="1:12">
      <c r="A21" s="26">
        <v>9</v>
      </c>
      <c r="B21" s="45">
        <v>200840055</v>
      </c>
      <c r="C21" s="60" t="s">
        <v>33</v>
      </c>
      <c r="D21" s="24">
        <v>9.24</v>
      </c>
      <c r="E21" s="24">
        <v>11.48</v>
      </c>
      <c r="F21" s="24">
        <v>7.42</v>
      </c>
      <c r="G21" s="24">
        <v>9.8000000000000007</v>
      </c>
      <c r="H21" s="24">
        <v>8.26</v>
      </c>
      <c r="I21" s="24">
        <f>2+1.68+0.8+1.8+1.5</f>
        <v>7.7799999999999994</v>
      </c>
      <c r="J21" s="24">
        <v>53.97</v>
      </c>
      <c r="K21" s="24">
        <v>7</v>
      </c>
      <c r="L21" s="25">
        <f t="shared" si="1"/>
        <v>60.97</v>
      </c>
    </row>
    <row r="22" spans="1:12">
      <c r="A22" s="26">
        <v>10</v>
      </c>
      <c r="B22" s="45">
        <v>200840120</v>
      </c>
      <c r="C22" s="56" t="s">
        <v>34</v>
      </c>
      <c r="D22" s="24">
        <v>7.84</v>
      </c>
      <c r="E22" s="24">
        <v>7.98</v>
      </c>
      <c r="F22" s="24">
        <v>7.56</v>
      </c>
      <c r="G22" s="24">
        <v>5.88</v>
      </c>
      <c r="H22" s="24">
        <v>7.3150000000000004</v>
      </c>
      <c r="I22" s="24">
        <f>1.75+1.52+0.5+1+1.4+1.7</f>
        <v>7.87</v>
      </c>
      <c r="J22" s="24">
        <f t="shared" si="0"/>
        <v>44.445000000000007</v>
      </c>
      <c r="K22" s="24">
        <v>4.5999999999999996</v>
      </c>
      <c r="L22" s="25">
        <f>+K22+J22</f>
        <v>49.045000000000009</v>
      </c>
    </row>
    <row r="23" spans="1:12">
      <c r="A23" s="26">
        <v>11</v>
      </c>
      <c r="B23" s="45">
        <v>200840126</v>
      </c>
      <c r="C23" s="56" t="s">
        <v>35</v>
      </c>
      <c r="D23" s="24">
        <v>5.6</v>
      </c>
      <c r="E23" s="24">
        <v>7.28</v>
      </c>
      <c r="F23" s="24">
        <v>4.0599999999999996</v>
      </c>
      <c r="G23" s="24">
        <v>5.32</v>
      </c>
      <c r="H23" s="28">
        <v>4.62</v>
      </c>
      <c r="I23" s="28">
        <f>2+1.4+0.67+1.8+1.8</f>
        <v>7.67</v>
      </c>
      <c r="J23" s="24">
        <f t="shared" si="0"/>
        <v>34.549999999999997</v>
      </c>
      <c r="K23" s="24" t="s">
        <v>475</v>
      </c>
      <c r="L23" s="25">
        <f>+J23</f>
        <v>34.549999999999997</v>
      </c>
    </row>
    <row r="24" spans="1:12">
      <c r="A24" s="26">
        <v>12</v>
      </c>
      <c r="B24" s="45">
        <v>200840174</v>
      </c>
      <c r="C24" s="56" t="s">
        <v>37</v>
      </c>
      <c r="D24" s="24">
        <v>6.44</v>
      </c>
      <c r="E24" s="24">
        <v>8.1199999999999992</v>
      </c>
      <c r="F24" s="24">
        <v>5.74</v>
      </c>
      <c r="G24" s="24">
        <v>7.84</v>
      </c>
      <c r="H24" s="28">
        <v>7.98</v>
      </c>
      <c r="I24" s="28">
        <v>8.99</v>
      </c>
      <c r="J24" s="24">
        <f t="shared" si="0"/>
        <v>45.109999999999992</v>
      </c>
      <c r="K24" s="24">
        <v>2.8</v>
      </c>
      <c r="L24" s="25">
        <f t="shared" si="1"/>
        <v>47.909999999999989</v>
      </c>
    </row>
    <row r="25" spans="1:12">
      <c r="A25" s="26">
        <v>13</v>
      </c>
      <c r="B25" s="45">
        <v>200840175</v>
      </c>
      <c r="C25" s="56" t="s">
        <v>38</v>
      </c>
      <c r="D25" s="24">
        <v>7.7</v>
      </c>
      <c r="E25" s="24">
        <v>10.08</v>
      </c>
      <c r="F25" s="24">
        <v>6.3</v>
      </c>
      <c r="G25" s="24">
        <v>9.24</v>
      </c>
      <c r="H25" s="28">
        <v>5.6</v>
      </c>
      <c r="I25" s="28">
        <v>8.6</v>
      </c>
      <c r="J25" s="24">
        <f t="shared" si="0"/>
        <v>47.52</v>
      </c>
      <c r="K25" s="24">
        <v>4.2</v>
      </c>
      <c r="L25" s="25">
        <f t="shared" si="1"/>
        <v>51.720000000000006</v>
      </c>
    </row>
    <row r="26" spans="1:12">
      <c r="A26" s="23">
        <v>14</v>
      </c>
      <c r="B26" s="45">
        <v>200840186</v>
      </c>
      <c r="C26" s="56" t="s">
        <v>39</v>
      </c>
      <c r="D26" s="24">
        <v>7.7</v>
      </c>
      <c r="E26" s="24">
        <v>11.34</v>
      </c>
      <c r="F26" s="24">
        <v>6.58</v>
      </c>
      <c r="G26" s="24">
        <v>11.34</v>
      </c>
      <c r="H26" s="28">
        <v>6.02</v>
      </c>
      <c r="I26" s="28">
        <f>51.66-42.98</f>
        <v>8.68</v>
      </c>
      <c r="J26" s="24">
        <f t="shared" si="0"/>
        <v>51.66</v>
      </c>
      <c r="K26" s="24">
        <v>8.84</v>
      </c>
      <c r="L26" s="25">
        <f t="shared" si="1"/>
        <v>60.5</v>
      </c>
    </row>
    <row r="27" spans="1:12">
      <c r="A27" s="23">
        <v>15</v>
      </c>
      <c r="B27" s="45">
        <v>200840188</v>
      </c>
      <c r="C27" s="56" t="s">
        <v>40</v>
      </c>
      <c r="D27" s="24">
        <v>4.9000000000000004</v>
      </c>
      <c r="E27" s="24">
        <v>6.3</v>
      </c>
      <c r="F27" s="24">
        <v>6.16</v>
      </c>
      <c r="G27" s="24">
        <v>5.32</v>
      </c>
      <c r="H27" s="24">
        <v>0</v>
      </c>
      <c r="I27" s="24">
        <f>26.78-22.68</f>
        <v>4.1000000000000014</v>
      </c>
      <c r="J27" s="24">
        <f t="shared" si="0"/>
        <v>26.78</v>
      </c>
      <c r="K27" s="24" t="s">
        <v>475</v>
      </c>
      <c r="L27" s="25">
        <f>+J27</f>
        <v>26.78</v>
      </c>
    </row>
    <row r="28" spans="1:12">
      <c r="A28" s="23">
        <v>16</v>
      </c>
      <c r="B28" s="45">
        <v>200840198</v>
      </c>
      <c r="C28" s="56" t="s">
        <v>41</v>
      </c>
      <c r="D28" s="24">
        <v>6.72</v>
      </c>
      <c r="E28" s="24">
        <v>6.02</v>
      </c>
      <c r="F28" s="24">
        <v>7.14</v>
      </c>
      <c r="G28" s="24">
        <v>6.44</v>
      </c>
      <c r="H28" s="24">
        <v>8.1199999999999992</v>
      </c>
      <c r="I28" s="24">
        <f>43.5-34.44</f>
        <v>9.0600000000000023</v>
      </c>
      <c r="J28" s="24">
        <f t="shared" si="0"/>
        <v>43.5</v>
      </c>
      <c r="K28" s="24">
        <v>4.4000000000000004</v>
      </c>
      <c r="L28" s="25">
        <f t="shared" si="1"/>
        <v>47.9</v>
      </c>
    </row>
    <row r="29" spans="1:12">
      <c r="A29" s="23">
        <v>17</v>
      </c>
      <c r="B29" s="57">
        <v>200840211</v>
      </c>
      <c r="C29" s="56" t="s">
        <v>42</v>
      </c>
      <c r="D29" s="24">
        <v>2.94</v>
      </c>
      <c r="E29" s="24">
        <v>3.5</v>
      </c>
      <c r="F29" s="24">
        <v>4.2</v>
      </c>
      <c r="G29" s="24">
        <v>3.08</v>
      </c>
      <c r="H29" s="24">
        <v>3.22</v>
      </c>
      <c r="I29" s="24">
        <f>24.6-16.94</f>
        <v>7.66</v>
      </c>
      <c r="J29" s="24">
        <f t="shared" si="0"/>
        <v>24.6</v>
      </c>
      <c r="K29" s="24" t="s">
        <v>475</v>
      </c>
      <c r="L29" s="25">
        <f>+J29</f>
        <v>24.6</v>
      </c>
    </row>
    <row r="30" spans="1:12">
      <c r="A30" s="27">
        <v>18</v>
      </c>
      <c r="B30" s="45">
        <v>200842032</v>
      </c>
      <c r="C30" s="60" t="s">
        <v>44</v>
      </c>
      <c r="D30" s="24">
        <v>3.5</v>
      </c>
      <c r="E30" s="24">
        <v>3.64</v>
      </c>
      <c r="F30" s="24">
        <v>3.92</v>
      </c>
      <c r="G30" s="24">
        <v>5.32</v>
      </c>
      <c r="H30" s="24">
        <v>0</v>
      </c>
      <c r="I30" s="24">
        <f>19.92-16.38</f>
        <v>3.5400000000000027</v>
      </c>
      <c r="J30" s="24">
        <f t="shared" si="0"/>
        <v>19.920000000000002</v>
      </c>
      <c r="K30" s="24" t="s">
        <v>475</v>
      </c>
      <c r="L30" s="25">
        <f>+J30</f>
        <v>19.920000000000002</v>
      </c>
    </row>
    <row r="31" spans="1:12">
      <c r="A31" s="27">
        <v>19</v>
      </c>
      <c r="B31" s="45">
        <v>200842044</v>
      </c>
      <c r="C31" s="60" t="s">
        <v>45</v>
      </c>
      <c r="D31" s="24">
        <v>10.36</v>
      </c>
      <c r="E31" s="24">
        <v>11.06</v>
      </c>
      <c r="F31" s="24">
        <v>10.08</v>
      </c>
      <c r="G31" s="24">
        <v>11.2</v>
      </c>
      <c r="H31" s="24">
        <v>5.18</v>
      </c>
      <c r="I31" s="24">
        <f>56.48-47.88</f>
        <v>8.5999999999999943</v>
      </c>
      <c r="J31" s="24">
        <f t="shared" si="0"/>
        <v>56.48</v>
      </c>
      <c r="K31" s="24">
        <v>10.4</v>
      </c>
      <c r="L31" s="25">
        <f t="shared" si="1"/>
        <v>66.88</v>
      </c>
    </row>
    <row r="32" spans="1:12">
      <c r="A32" s="27">
        <v>20</v>
      </c>
      <c r="B32" s="45">
        <v>200842051</v>
      </c>
      <c r="C32" s="56" t="s">
        <v>428</v>
      </c>
      <c r="D32" s="24">
        <v>6.3</v>
      </c>
      <c r="E32" s="24">
        <v>9.94</v>
      </c>
      <c r="F32" s="24">
        <v>8.26</v>
      </c>
      <c r="G32" s="24">
        <v>10.64</v>
      </c>
      <c r="H32" s="24">
        <v>9.3800000000000008</v>
      </c>
      <c r="I32" s="24">
        <f>53.38-44.52</f>
        <v>8.86</v>
      </c>
      <c r="J32" s="24">
        <f t="shared" si="0"/>
        <v>53.379999999999995</v>
      </c>
      <c r="K32" s="24">
        <v>8.1999999999999993</v>
      </c>
      <c r="L32" s="25">
        <f t="shared" si="1"/>
        <v>61.58</v>
      </c>
    </row>
    <row r="33" spans="1:12">
      <c r="A33" s="27">
        <v>21</v>
      </c>
      <c r="B33" s="45">
        <v>200842058</v>
      </c>
      <c r="C33" s="56" t="s">
        <v>46</v>
      </c>
      <c r="D33" s="24">
        <v>7.7</v>
      </c>
      <c r="E33" s="24">
        <v>5.88</v>
      </c>
      <c r="F33" s="24">
        <v>7.7</v>
      </c>
      <c r="G33" s="24">
        <v>7.98</v>
      </c>
      <c r="H33" s="24">
        <v>5.74</v>
      </c>
      <c r="I33" s="24">
        <f>43.33-35</f>
        <v>8.3299999999999983</v>
      </c>
      <c r="J33" s="24">
        <f t="shared" si="0"/>
        <v>43.33</v>
      </c>
      <c r="K33" s="24">
        <v>1.8</v>
      </c>
      <c r="L33" s="25">
        <f t="shared" si="1"/>
        <v>45.129999999999995</v>
      </c>
    </row>
    <row r="34" spans="1:12">
      <c r="A34" s="27">
        <v>22</v>
      </c>
      <c r="B34" s="57">
        <v>200842061</v>
      </c>
      <c r="C34" s="56" t="s">
        <v>48</v>
      </c>
      <c r="D34" s="24">
        <v>2.94</v>
      </c>
      <c r="E34" s="24">
        <v>4.9000000000000004</v>
      </c>
      <c r="F34" s="24">
        <v>4.2</v>
      </c>
      <c r="G34" s="24">
        <v>4.4800000000000004</v>
      </c>
      <c r="H34" s="24">
        <v>0</v>
      </c>
      <c r="I34" s="24">
        <f>21.07-16.52</f>
        <v>4.5500000000000007</v>
      </c>
      <c r="J34" s="24">
        <f t="shared" si="0"/>
        <v>21.070000000000004</v>
      </c>
      <c r="K34" s="24" t="s">
        <v>475</v>
      </c>
      <c r="L34" s="25">
        <f>+J34</f>
        <v>21.070000000000004</v>
      </c>
    </row>
    <row r="35" spans="1:12">
      <c r="A35" s="27">
        <v>23</v>
      </c>
      <c r="B35" s="45">
        <v>200842077</v>
      </c>
      <c r="C35" s="56" t="s">
        <v>49</v>
      </c>
      <c r="D35" s="24">
        <v>5.46</v>
      </c>
      <c r="E35" s="24">
        <v>5.18</v>
      </c>
      <c r="F35" s="24">
        <v>7.14</v>
      </c>
      <c r="G35" s="24">
        <v>4.2</v>
      </c>
      <c r="H35" s="24">
        <v>0</v>
      </c>
      <c r="I35" s="24">
        <f>28.27-21.98</f>
        <v>6.2899999999999991</v>
      </c>
      <c r="J35" s="24">
        <f t="shared" si="0"/>
        <v>28.27</v>
      </c>
      <c r="K35" s="24" t="s">
        <v>475</v>
      </c>
      <c r="L35" s="25">
        <f t="shared" ref="L35:L36" si="2">+J35</f>
        <v>28.27</v>
      </c>
    </row>
    <row r="36" spans="1:12">
      <c r="A36" s="27">
        <v>24</v>
      </c>
      <c r="B36" s="45">
        <v>200842129</v>
      </c>
      <c r="C36" s="56" t="s">
        <v>50</v>
      </c>
      <c r="D36" s="24">
        <v>7.84</v>
      </c>
      <c r="E36" s="24">
        <v>7.28</v>
      </c>
      <c r="F36" s="24">
        <v>7.28</v>
      </c>
      <c r="G36" s="24">
        <v>6.44</v>
      </c>
      <c r="H36" s="24">
        <v>1.4</v>
      </c>
      <c r="I36" s="24">
        <f>36.81-30.24</f>
        <v>6.5700000000000038</v>
      </c>
      <c r="J36" s="24">
        <f t="shared" si="0"/>
        <v>36.81</v>
      </c>
      <c r="K36" s="24" t="s">
        <v>475</v>
      </c>
      <c r="L36" s="25">
        <f t="shared" si="2"/>
        <v>36.81</v>
      </c>
    </row>
    <row r="37" spans="1:12">
      <c r="A37" s="27">
        <v>25</v>
      </c>
      <c r="B37" s="45">
        <v>200842227</v>
      </c>
      <c r="C37" s="56" t="s">
        <v>51</v>
      </c>
      <c r="D37" s="24">
        <v>6.16</v>
      </c>
      <c r="E37" s="24">
        <v>5.6</v>
      </c>
      <c r="F37" s="24">
        <v>12.04</v>
      </c>
      <c r="G37" s="24">
        <v>6.72</v>
      </c>
      <c r="H37" s="24">
        <v>6.72</v>
      </c>
      <c r="I37" s="24">
        <f>45.83-37.24</f>
        <v>8.5899999999999963</v>
      </c>
      <c r="J37" s="24">
        <f t="shared" si="0"/>
        <v>45.83</v>
      </c>
      <c r="K37" s="24">
        <v>4.2</v>
      </c>
      <c r="L37" s="25">
        <f t="shared" si="1"/>
        <v>50.03</v>
      </c>
    </row>
    <row r="38" spans="1:12">
      <c r="A38" s="27">
        <v>26</v>
      </c>
      <c r="B38" s="45">
        <v>200842253</v>
      </c>
      <c r="C38" s="56" t="s">
        <v>52</v>
      </c>
      <c r="D38" s="24">
        <v>5.6</v>
      </c>
      <c r="E38" s="24">
        <v>5.88</v>
      </c>
      <c r="F38" s="24">
        <v>6.16</v>
      </c>
      <c r="G38" s="24">
        <v>4.4800000000000004</v>
      </c>
      <c r="H38" s="24">
        <v>2.1</v>
      </c>
      <c r="I38" s="24">
        <f>28.94-24.22</f>
        <v>4.7200000000000024</v>
      </c>
      <c r="J38" s="24">
        <f t="shared" si="0"/>
        <v>28.939999999999998</v>
      </c>
      <c r="K38" s="24" t="s">
        <v>475</v>
      </c>
      <c r="L38" s="25">
        <f>+J38</f>
        <v>28.939999999999998</v>
      </c>
    </row>
    <row r="39" spans="1:12">
      <c r="A39" s="27">
        <v>27</v>
      </c>
      <c r="B39" s="45">
        <v>200940284</v>
      </c>
      <c r="C39" s="60" t="s">
        <v>53</v>
      </c>
      <c r="D39" s="24">
        <v>6.86</v>
      </c>
      <c r="E39" s="24">
        <v>8.82</v>
      </c>
      <c r="F39" s="24">
        <v>5.6</v>
      </c>
      <c r="G39" s="24">
        <v>5.04</v>
      </c>
      <c r="H39" s="24">
        <v>6.86</v>
      </c>
      <c r="I39" s="24">
        <f>41.5-33.18</f>
        <v>8.32</v>
      </c>
      <c r="J39" s="24">
        <f t="shared" si="0"/>
        <v>41.5</v>
      </c>
      <c r="K39" s="24">
        <v>5.2</v>
      </c>
      <c r="L39" s="25">
        <f t="shared" si="1"/>
        <v>46.7</v>
      </c>
    </row>
    <row r="40" spans="1:12">
      <c r="A40" s="27">
        <v>28</v>
      </c>
      <c r="B40" s="45">
        <v>200940311</v>
      </c>
      <c r="C40" s="59" t="s">
        <v>54</v>
      </c>
      <c r="D40" s="24">
        <v>4.2</v>
      </c>
      <c r="E40" s="24">
        <v>9.8000000000000007</v>
      </c>
      <c r="F40" s="24">
        <v>4.0599999999999996</v>
      </c>
      <c r="G40" s="24">
        <v>2.52</v>
      </c>
      <c r="H40" s="24">
        <v>0</v>
      </c>
      <c r="I40" s="24">
        <f>24.2-20.58</f>
        <v>3.620000000000001</v>
      </c>
      <c r="J40" s="24">
        <f t="shared" si="0"/>
        <v>24.2</v>
      </c>
      <c r="K40" s="24" t="s">
        <v>475</v>
      </c>
      <c r="L40" s="25">
        <f>+J40</f>
        <v>24.2</v>
      </c>
    </row>
    <row r="41" spans="1:12">
      <c r="A41" s="27">
        <v>29</v>
      </c>
      <c r="B41" s="45">
        <v>200940313</v>
      </c>
      <c r="C41" s="56" t="s">
        <v>55</v>
      </c>
      <c r="D41" s="24">
        <v>6.86</v>
      </c>
      <c r="E41" s="24">
        <v>6.44</v>
      </c>
      <c r="F41" s="24">
        <v>3.08</v>
      </c>
      <c r="G41" s="24">
        <v>2.8</v>
      </c>
      <c r="H41" s="24">
        <v>0</v>
      </c>
      <c r="I41" s="24">
        <f>23.81-19.18</f>
        <v>4.629999999999999</v>
      </c>
      <c r="J41" s="24">
        <f t="shared" si="0"/>
        <v>23.81</v>
      </c>
      <c r="K41" s="24" t="s">
        <v>475</v>
      </c>
      <c r="L41" s="25">
        <f t="shared" ref="L41:L45" si="3">+J41</f>
        <v>23.81</v>
      </c>
    </row>
    <row r="42" spans="1:12">
      <c r="A42" s="27">
        <v>30</v>
      </c>
      <c r="B42" s="45">
        <v>200940323</v>
      </c>
      <c r="C42" s="56" t="s">
        <v>56</v>
      </c>
      <c r="D42" s="24">
        <v>2.52</v>
      </c>
      <c r="E42" s="24">
        <v>0</v>
      </c>
      <c r="F42" s="24">
        <v>0</v>
      </c>
      <c r="G42" s="24">
        <v>0</v>
      </c>
      <c r="H42" s="24">
        <v>0</v>
      </c>
      <c r="I42" s="24">
        <f>4.07-2.52</f>
        <v>1.5500000000000003</v>
      </c>
      <c r="J42" s="24">
        <f t="shared" si="0"/>
        <v>4.07</v>
      </c>
      <c r="K42" s="24" t="s">
        <v>475</v>
      </c>
      <c r="L42" s="25">
        <f t="shared" si="3"/>
        <v>4.07</v>
      </c>
    </row>
    <row r="43" spans="1:12">
      <c r="A43" s="27">
        <v>31</v>
      </c>
      <c r="B43" s="45">
        <v>200940326</v>
      </c>
      <c r="C43" s="56" t="s">
        <v>57</v>
      </c>
      <c r="D43" s="24">
        <v>2.2400000000000002</v>
      </c>
      <c r="E43" s="24">
        <v>5.6</v>
      </c>
      <c r="F43" s="24">
        <v>0</v>
      </c>
      <c r="G43" s="24">
        <v>0</v>
      </c>
      <c r="H43" s="24">
        <v>0</v>
      </c>
      <c r="I43" s="24">
        <f>9.48-7.84</f>
        <v>1.6400000000000006</v>
      </c>
      <c r="J43" s="24">
        <f t="shared" si="0"/>
        <v>9.48</v>
      </c>
      <c r="K43" s="24" t="s">
        <v>475</v>
      </c>
      <c r="L43" s="25">
        <f t="shared" si="3"/>
        <v>9.48</v>
      </c>
    </row>
    <row r="44" spans="1:12">
      <c r="A44" s="27">
        <v>32</v>
      </c>
      <c r="B44" s="45">
        <v>200940327</v>
      </c>
      <c r="C44" s="56" t="s">
        <v>58</v>
      </c>
      <c r="D44" s="24">
        <v>6.72</v>
      </c>
      <c r="E44" s="24">
        <v>6.02</v>
      </c>
      <c r="F44" s="24">
        <v>7</v>
      </c>
      <c r="G44" s="24">
        <v>3.92</v>
      </c>
      <c r="H44" s="24">
        <v>3.64</v>
      </c>
      <c r="I44" s="24">
        <f>35.35-27.3</f>
        <v>8.0500000000000007</v>
      </c>
      <c r="J44" s="24">
        <f t="shared" si="0"/>
        <v>35.35</v>
      </c>
      <c r="K44" s="24" t="s">
        <v>475</v>
      </c>
      <c r="L44" s="25">
        <f t="shared" si="3"/>
        <v>35.35</v>
      </c>
    </row>
    <row r="45" spans="1:12">
      <c r="A45" s="27">
        <v>33</v>
      </c>
      <c r="B45" s="45">
        <v>200940328</v>
      </c>
      <c r="C45" s="59" t="s">
        <v>59</v>
      </c>
      <c r="D45" s="24">
        <v>4.2</v>
      </c>
      <c r="E45" s="24">
        <v>5.88</v>
      </c>
      <c r="F45" s="24">
        <v>3.64</v>
      </c>
      <c r="G45" s="24">
        <v>0</v>
      </c>
      <c r="H45" s="24">
        <v>0</v>
      </c>
      <c r="I45" s="24">
        <f>18.22-13.72</f>
        <v>4.4999999999999982</v>
      </c>
      <c r="J45" s="24">
        <f t="shared" si="0"/>
        <v>18.22</v>
      </c>
      <c r="K45" s="24" t="s">
        <v>475</v>
      </c>
      <c r="L45" s="25">
        <f t="shared" si="3"/>
        <v>18.22</v>
      </c>
    </row>
    <row r="46" spans="1:12">
      <c r="A46" s="27">
        <v>34</v>
      </c>
      <c r="B46" s="45">
        <v>200940340</v>
      </c>
      <c r="C46" s="59" t="s">
        <v>60</v>
      </c>
      <c r="D46" s="24">
        <v>5.04</v>
      </c>
      <c r="E46" s="24">
        <v>5.04</v>
      </c>
      <c r="F46" s="24">
        <v>10.220000000000001</v>
      </c>
      <c r="G46" s="24">
        <v>9.94</v>
      </c>
      <c r="H46" s="24">
        <v>9.1</v>
      </c>
      <c r="I46" s="24">
        <f>48.11-39.34</f>
        <v>8.769999999999996</v>
      </c>
      <c r="J46" s="24">
        <f t="shared" si="0"/>
        <v>48.109999999999992</v>
      </c>
      <c r="K46" s="24">
        <v>6.6</v>
      </c>
      <c r="L46" s="25">
        <f t="shared" si="1"/>
        <v>54.709999999999994</v>
      </c>
    </row>
    <row r="47" spans="1:12">
      <c r="A47" s="27">
        <v>35</v>
      </c>
      <c r="B47" s="45">
        <v>200940355</v>
      </c>
      <c r="C47" s="59" t="s">
        <v>61</v>
      </c>
      <c r="D47" s="24">
        <v>2.94</v>
      </c>
      <c r="E47" s="24">
        <v>4.2</v>
      </c>
      <c r="F47" s="24">
        <v>5.04</v>
      </c>
      <c r="G47" s="24">
        <v>3.92</v>
      </c>
      <c r="H47" s="24">
        <v>2.8</v>
      </c>
      <c r="I47" s="24">
        <f>26.34-18.9</f>
        <v>7.4400000000000013</v>
      </c>
      <c r="J47" s="24">
        <f t="shared" si="0"/>
        <v>26.340000000000003</v>
      </c>
      <c r="K47" s="24" t="s">
        <v>475</v>
      </c>
      <c r="L47" s="25">
        <f>+J47</f>
        <v>26.340000000000003</v>
      </c>
    </row>
    <row r="48" spans="1:12">
      <c r="A48" s="27">
        <v>36</v>
      </c>
      <c r="B48" s="45">
        <v>200940359</v>
      </c>
      <c r="C48" s="56" t="s">
        <v>62</v>
      </c>
      <c r="D48" s="24">
        <v>3.5</v>
      </c>
      <c r="E48" s="24">
        <v>4.62</v>
      </c>
      <c r="F48" s="24">
        <v>6.02</v>
      </c>
      <c r="G48" s="24">
        <v>4.2</v>
      </c>
      <c r="H48" s="24">
        <v>4.0599999999999996</v>
      </c>
      <c r="I48" s="24">
        <f>30.55-22.4</f>
        <v>8.1500000000000021</v>
      </c>
      <c r="J48" s="24">
        <f t="shared" si="0"/>
        <v>30.55</v>
      </c>
      <c r="K48" s="24" t="s">
        <v>475</v>
      </c>
      <c r="L48" s="25">
        <f t="shared" ref="L48:L49" si="4">+J48</f>
        <v>30.55</v>
      </c>
    </row>
    <row r="49" spans="1:12">
      <c r="A49" s="27">
        <v>37</v>
      </c>
      <c r="B49" s="45">
        <v>200940361</v>
      </c>
      <c r="C49" s="59" t="s">
        <v>63</v>
      </c>
      <c r="D49" s="24">
        <v>5.6</v>
      </c>
      <c r="E49" s="24">
        <v>3.78</v>
      </c>
      <c r="F49" s="24">
        <v>4.76</v>
      </c>
      <c r="G49" s="24">
        <v>3.36</v>
      </c>
      <c r="H49" s="24">
        <v>0</v>
      </c>
      <c r="I49" s="24">
        <f>25.26-17.5</f>
        <v>7.7600000000000016</v>
      </c>
      <c r="J49" s="24">
        <f t="shared" si="0"/>
        <v>25.259999999999998</v>
      </c>
      <c r="K49" s="24" t="s">
        <v>475</v>
      </c>
      <c r="L49" s="25">
        <f t="shared" si="4"/>
        <v>25.259999999999998</v>
      </c>
    </row>
    <row r="50" spans="1:12">
      <c r="A50" s="27">
        <v>38</v>
      </c>
      <c r="B50" s="45">
        <v>200940365</v>
      </c>
      <c r="C50" s="56" t="s">
        <v>64</v>
      </c>
      <c r="D50" s="24">
        <v>9.24</v>
      </c>
      <c r="E50" s="24">
        <v>9.66</v>
      </c>
      <c r="F50" s="24">
        <v>5.04</v>
      </c>
      <c r="G50" s="24">
        <v>7</v>
      </c>
      <c r="H50" s="24">
        <v>5.04</v>
      </c>
      <c r="I50" s="24">
        <f>44.81-35.98</f>
        <v>8.8300000000000054</v>
      </c>
      <c r="J50" s="24">
        <f t="shared" si="0"/>
        <v>44.810000000000009</v>
      </c>
      <c r="K50" s="24">
        <v>2.2000000000000002</v>
      </c>
      <c r="L50" s="25">
        <f t="shared" si="1"/>
        <v>47.010000000000012</v>
      </c>
    </row>
    <row r="51" spans="1:12">
      <c r="A51" s="27">
        <v>39</v>
      </c>
      <c r="B51" s="57">
        <v>200940438</v>
      </c>
      <c r="C51" s="58" t="s">
        <v>65</v>
      </c>
      <c r="D51" s="24">
        <v>2.94</v>
      </c>
      <c r="E51" s="24">
        <v>4.34</v>
      </c>
      <c r="F51" s="24">
        <v>3.64</v>
      </c>
      <c r="G51" s="24">
        <v>0.84</v>
      </c>
      <c r="H51" s="24">
        <v>1.26</v>
      </c>
      <c r="I51" s="24">
        <f>15.78-13.02</f>
        <v>2.76</v>
      </c>
      <c r="J51" s="24">
        <f t="shared" si="0"/>
        <v>15.78</v>
      </c>
      <c r="K51" s="24" t="s">
        <v>475</v>
      </c>
      <c r="L51" s="25">
        <f>+J51</f>
        <v>15.78</v>
      </c>
    </row>
    <row r="52" spans="1:12">
      <c r="A52" s="27">
        <v>40</v>
      </c>
      <c r="B52" s="45">
        <v>200940473</v>
      </c>
      <c r="C52" s="56" t="s">
        <v>66</v>
      </c>
      <c r="D52" s="24">
        <v>3.5</v>
      </c>
      <c r="E52" s="24">
        <v>3.78</v>
      </c>
      <c r="F52" s="24">
        <v>4.34</v>
      </c>
      <c r="G52" s="24">
        <f>+H52</f>
        <v>0</v>
      </c>
      <c r="H52" s="24">
        <v>0</v>
      </c>
      <c r="I52" s="24">
        <f>19.63-11.62</f>
        <v>8.01</v>
      </c>
      <c r="J52" s="24">
        <f t="shared" si="0"/>
        <v>19.63</v>
      </c>
      <c r="K52" s="24" t="s">
        <v>475</v>
      </c>
      <c r="L52" s="25">
        <f t="shared" ref="L52:L53" si="5">+J52</f>
        <v>19.63</v>
      </c>
    </row>
    <row r="53" spans="1:12">
      <c r="A53" s="27">
        <v>41</v>
      </c>
      <c r="B53" s="45">
        <v>200940475</v>
      </c>
      <c r="C53" s="56" t="s">
        <v>67</v>
      </c>
      <c r="D53" s="24">
        <v>5.04</v>
      </c>
      <c r="E53" s="24">
        <v>7.42</v>
      </c>
      <c r="F53" s="24">
        <v>5.04</v>
      </c>
      <c r="G53" s="24">
        <v>5.6</v>
      </c>
      <c r="H53" s="24">
        <v>6.72</v>
      </c>
      <c r="I53" s="24">
        <f>37.72-29.82</f>
        <v>7.8999999999999986</v>
      </c>
      <c r="J53" s="24">
        <f t="shared" si="0"/>
        <v>37.72</v>
      </c>
      <c r="K53" s="24" t="s">
        <v>475</v>
      </c>
      <c r="L53" s="25">
        <f t="shared" si="5"/>
        <v>37.72</v>
      </c>
    </row>
    <row r="54" spans="1:12">
      <c r="A54" s="27">
        <v>42</v>
      </c>
      <c r="B54" s="45">
        <v>200940477</v>
      </c>
      <c r="C54" s="56" t="s">
        <v>68</v>
      </c>
      <c r="D54" s="24">
        <v>7.14</v>
      </c>
      <c r="E54" s="24">
        <v>9.3800000000000008</v>
      </c>
      <c r="F54" s="24">
        <v>7.28</v>
      </c>
      <c r="G54" s="24">
        <v>6.44</v>
      </c>
      <c r="H54" s="24">
        <v>6.58</v>
      </c>
      <c r="I54" s="24">
        <f>45.7-36.82</f>
        <v>8.8800000000000026</v>
      </c>
      <c r="J54" s="24">
        <f t="shared" si="0"/>
        <v>45.7</v>
      </c>
      <c r="K54" s="24">
        <v>5</v>
      </c>
      <c r="L54" s="25">
        <f t="shared" si="1"/>
        <v>50.7</v>
      </c>
    </row>
    <row r="55" spans="1:12">
      <c r="A55" s="27">
        <v>43</v>
      </c>
      <c r="B55" s="45">
        <v>200940482</v>
      </c>
      <c r="C55" s="56" t="s">
        <v>69</v>
      </c>
      <c r="D55" s="24">
        <v>9.66</v>
      </c>
      <c r="E55" s="24">
        <v>7.28</v>
      </c>
      <c r="F55" s="24">
        <v>5.04</v>
      </c>
      <c r="G55" s="24">
        <v>7</v>
      </c>
      <c r="H55" s="24">
        <v>7.14</v>
      </c>
      <c r="I55" s="24">
        <f>45.09-36.12</f>
        <v>8.970000000000006</v>
      </c>
      <c r="J55" s="24">
        <f t="shared" si="0"/>
        <v>45.09</v>
      </c>
      <c r="K55" s="24">
        <v>5.6</v>
      </c>
      <c r="L55" s="25">
        <f t="shared" si="1"/>
        <v>50.690000000000005</v>
      </c>
    </row>
    <row r="56" spans="1:12">
      <c r="A56" s="27">
        <v>44</v>
      </c>
      <c r="B56" s="57">
        <v>200940485</v>
      </c>
      <c r="C56" s="58" t="s">
        <v>70</v>
      </c>
      <c r="D56" s="24">
        <v>2.94</v>
      </c>
      <c r="E56" s="24">
        <v>5.6</v>
      </c>
      <c r="F56" s="24">
        <v>3.5</v>
      </c>
      <c r="G56" s="24">
        <v>0</v>
      </c>
      <c r="H56" s="24">
        <v>0</v>
      </c>
      <c r="I56" s="24">
        <f>13.76-12.04</f>
        <v>1.7200000000000006</v>
      </c>
      <c r="J56" s="24">
        <f t="shared" si="0"/>
        <v>13.76</v>
      </c>
      <c r="K56" s="24" t="s">
        <v>475</v>
      </c>
      <c r="L56" s="25">
        <f>+J56</f>
        <v>13.76</v>
      </c>
    </row>
    <row r="57" spans="1:12">
      <c r="A57" s="27">
        <v>45</v>
      </c>
      <c r="B57" s="45">
        <v>200940487</v>
      </c>
      <c r="C57" s="56" t="s">
        <v>71</v>
      </c>
      <c r="D57" s="24">
        <v>5.32</v>
      </c>
      <c r="E57" s="24">
        <v>4.76</v>
      </c>
      <c r="F57" s="24">
        <v>4.62</v>
      </c>
      <c r="G57" s="24">
        <v>4.76</v>
      </c>
      <c r="H57" s="24">
        <v>0</v>
      </c>
      <c r="I57" s="24">
        <f>25.91-19.46</f>
        <v>6.4499999999999993</v>
      </c>
      <c r="J57" s="24">
        <f t="shared" si="0"/>
        <v>25.909999999999997</v>
      </c>
      <c r="K57" s="24" t="s">
        <v>475</v>
      </c>
      <c r="L57" s="25">
        <f t="shared" ref="L57:L58" si="6">+J57</f>
        <v>25.909999999999997</v>
      </c>
    </row>
    <row r="58" spans="1:12">
      <c r="A58" s="27">
        <v>46</v>
      </c>
      <c r="B58" s="45">
        <v>200940501</v>
      </c>
      <c r="C58" s="59" t="s">
        <v>72</v>
      </c>
      <c r="D58" s="24">
        <v>3.22</v>
      </c>
      <c r="E58" s="24">
        <v>4.9000000000000004</v>
      </c>
      <c r="F58" s="24">
        <v>3.78</v>
      </c>
      <c r="G58" s="24">
        <v>0</v>
      </c>
      <c r="H58" s="24">
        <v>0</v>
      </c>
      <c r="I58" s="24">
        <f>13.61-11.9</f>
        <v>1.7099999999999991</v>
      </c>
      <c r="J58" s="24">
        <f t="shared" si="0"/>
        <v>13.61</v>
      </c>
      <c r="K58" s="24" t="s">
        <v>475</v>
      </c>
      <c r="L58" s="25">
        <f t="shared" si="6"/>
        <v>13.61</v>
      </c>
    </row>
    <row r="59" spans="1:12">
      <c r="A59" s="27">
        <v>47</v>
      </c>
      <c r="B59" s="45">
        <v>200940509</v>
      </c>
      <c r="C59" s="56" t="s">
        <v>73</v>
      </c>
      <c r="D59" s="24">
        <v>9.8000000000000007</v>
      </c>
      <c r="E59" s="24">
        <v>8.5399999999999991</v>
      </c>
      <c r="F59" s="24">
        <v>9.8000000000000007</v>
      </c>
      <c r="G59" s="24">
        <v>8.9600000000000009</v>
      </c>
      <c r="H59" s="24">
        <v>9.24</v>
      </c>
      <c r="I59" s="24">
        <f>55.33-46.34</f>
        <v>8.9899999999999949</v>
      </c>
      <c r="J59" s="24">
        <f t="shared" si="0"/>
        <v>55.33</v>
      </c>
      <c r="K59" s="24">
        <v>10.8</v>
      </c>
      <c r="L59" s="25">
        <f t="shared" si="1"/>
        <v>66.13</v>
      </c>
    </row>
    <row r="60" spans="1:12">
      <c r="A60" s="27">
        <v>48</v>
      </c>
      <c r="B60" s="45">
        <v>200940510</v>
      </c>
      <c r="C60" s="56" t="s">
        <v>74</v>
      </c>
      <c r="D60" s="24">
        <v>2.94</v>
      </c>
      <c r="E60" s="24">
        <v>4.0599999999999996</v>
      </c>
      <c r="F60" s="24">
        <v>4.76</v>
      </c>
      <c r="G60" s="24">
        <v>3.36</v>
      </c>
      <c r="H60" s="24">
        <v>0</v>
      </c>
      <c r="I60" s="24">
        <f>23.39-15.12</f>
        <v>8.2700000000000014</v>
      </c>
      <c r="J60" s="24">
        <f t="shared" si="0"/>
        <v>23.39</v>
      </c>
      <c r="K60" s="24" t="s">
        <v>475</v>
      </c>
      <c r="L60" s="25">
        <f>+J60</f>
        <v>23.39</v>
      </c>
    </row>
    <row r="61" spans="1:12">
      <c r="A61" s="27">
        <v>49</v>
      </c>
      <c r="B61" s="45">
        <v>200940515</v>
      </c>
      <c r="C61" s="58" t="s">
        <v>75</v>
      </c>
      <c r="D61" s="24">
        <v>2.66</v>
      </c>
      <c r="E61" s="24">
        <v>2.94</v>
      </c>
      <c r="F61" s="24">
        <v>3.36</v>
      </c>
      <c r="G61" s="24">
        <v>0.84</v>
      </c>
      <c r="H61" s="24">
        <v>0</v>
      </c>
      <c r="I61" s="24">
        <f>12.48-9.8</f>
        <v>2.6799999999999997</v>
      </c>
      <c r="J61" s="24">
        <f t="shared" si="0"/>
        <v>12.479999999999999</v>
      </c>
      <c r="K61" s="24" t="s">
        <v>475</v>
      </c>
      <c r="L61" s="25">
        <f>+J61</f>
        <v>12.479999999999999</v>
      </c>
    </row>
    <row r="62" spans="1:12">
      <c r="A62" s="27">
        <v>50</v>
      </c>
      <c r="B62" s="45">
        <v>200940517</v>
      </c>
      <c r="C62" s="56" t="s">
        <v>76</v>
      </c>
      <c r="D62" s="24">
        <v>10.64</v>
      </c>
      <c r="E62" s="24">
        <v>7.14</v>
      </c>
      <c r="F62" s="24">
        <v>7.14</v>
      </c>
      <c r="G62" s="24">
        <v>8.4</v>
      </c>
      <c r="H62" s="24">
        <v>6.16</v>
      </c>
      <c r="I62" s="24">
        <f>47.8-39.48</f>
        <v>8.32</v>
      </c>
      <c r="J62" s="24">
        <f t="shared" si="0"/>
        <v>47.800000000000004</v>
      </c>
      <c r="K62" s="24">
        <v>5.8</v>
      </c>
      <c r="L62" s="25">
        <f t="shared" si="1"/>
        <v>53.6</v>
      </c>
    </row>
    <row r="63" spans="1:12">
      <c r="A63" s="27">
        <v>51</v>
      </c>
      <c r="B63" s="57">
        <v>200940518</v>
      </c>
      <c r="C63" s="60" t="s">
        <v>77</v>
      </c>
      <c r="D63" s="24">
        <v>2.94</v>
      </c>
      <c r="E63" s="24">
        <v>4.4800000000000004</v>
      </c>
      <c r="F63" s="24">
        <v>6.3</v>
      </c>
      <c r="G63" s="24">
        <v>5.32</v>
      </c>
      <c r="H63" s="24">
        <v>0</v>
      </c>
      <c r="I63" s="24">
        <f>23.88-19.04</f>
        <v>4.84</v>
      </c>
      <c r="J63" s="24">
        <f t="shared" si="0"/>
        <v>23.880000000000003</v>
      </c>
      <c r="K63" s="24" t="s">
        <v>475</v>
      </c>
      <c r="L63" s="25">
        <f>+J63</f>
        <v>23.880000000000003</v>
      </c>
    </row>
    <row r="64" spans="1:12">
      <c r="A64" s="27">
        <v>52</v>
      </c>
      <c r="B64" s="45">
        <v>200940525</v>
      </c>
      <c r="C64" s="56" t="s">
        <v>78</v>
      </c>
      <c r="D64" s="24">
        <v>5.46</v>
      </c>
      <c r="E64" s="24">
        <v>6.86</v>
      </c>
      <c r="F64" s="24">
        <v>4.76</v>
      </c>
      <c r="G64" s="24">
        <v>5.32</v>
      </c>
      <c r="H64" s="24">
        <v>4.2</v>
      </c>
      <c r="I64" s="24">
        <f>35.15-26.6</f>
        <v>8.5499999999999972</v>
      </c>
      <c r="J64" s="24">
        <f t="shared" si="0"/>
        <v>35.15</v>
      </c>
      <c r="K64" s="24" t="s">
        <v>475</v>
      </c>
      <c r="L64" s="25">
        <f t="shared" ref="L64:L69" si="7">+J64</f>
        <v>35.15</v>
      </c>
    </row>
    <row r="65" spans="1:12">
      <c r="A65" s="27">
        <v>53</v>
      </c>
      <c r="B65" s="45">
        <v>200940530</v>
      </c>
      <c r="C65" s="56" t="s">
        <v>79</v>
      </c>
      <c r="D65" s="24">
        <v>3.22</v>
      </c>
      <c r="E65" s="24">
        <v>9.94</v>
      </c>
      <c r="F65" s="24">
        <v>4.34</v>
      </c>
      <c r="G65" s="24">
        <v>4.76</v>
      </c>
      <c r="H65" s="24">
        <v>2.38</v>
      </c>
      <c r="I65" s="24">
        <f>33.22-24.64</f>
        <v>8.5799999999999983</v>
      </c>
      <c r="J65" s="24">
        <f t="shared" si="0"/>
        <v>33.219999999999992</v>
      </c>
      <c r="K65" s="24" t="s">
        <v>475</v>
      </c>
      <c r="L65" s="25">
        <f t="shared" si="7"/>
        <v>33.219999999999992</v>
      </c>
    </row>
    <row r="66" spans="1:12">
      <c r="A66" s="27">
        <v>54</v>
      </c>
      <c r="B66" s="45">
        <v>200940531</v>
      </c>
      <c r="C66" s="60" t="s">
        <v>80</v>
      </c>
      <c r="D66" s="24">
        <v>4.2</v>
      </c>
      <c r="E66" s="24">
        <v>3.08</v>
      </c>
      <c r="F66" s="24">
        <v>2.52</v>
      </c>
      <c r="G66" s="24">
        <v>0</v>
      </c>
      <c r="H66" s="24">
        <v>0</v>
      </c>
      <c r="I66" s="24">
        <f>12.88-9.8</f>
        <v>3.08</v>
      </c>
      <c r="J66" s="24">
        <f t="shared" si="0"/>
        <v>12.879999999999999</v>
      </c>
      <c r="K66" s="24" t="s">
        <v>475</v>
      </c>
      <c r="L66" s="25">
        <f t="shared" si="7"/>
        <v>12.879999999999999</v>
      </c>
    </row>
    <row r="67" spans="1:12">
      <c r="A67" s="27">
        <v>55</v>
      </c>
      <c r="B67" s="45">
        <v>200940532</v>
      </c>
      <c r="C67" s="56" t="s">
        <v>81</v>
      </c>
      <c r="D67" s="24">
        <v>5.88</v>
      </c>
      <c r="E67" s="24">
        <v>5.18</v>
      </c>
      <c r="F67" s="24">
        <v>7.28</v>
      </c>
      <c r="G67" s="24">
        <v>4.2</v>
      </c>
      <c r="H67" s="24">
        <v>0</v>
      </c>
      <c r="I67" s="24">
        <f>28.59-22.54</f>
        <v>6.0500000000000007</v>
      </c>
      <c r="J67" s="24">
        <f t="shared" si="0"/>
        <v>28.59</v>
      </c>
      <c r="K67" s="24" t="s">
        <v>475</v>
      </c>
      <c r="L67" s="25">
        <f t="shared" si="7"/>
        <v>28.59</v>
      </c>
    </row>
    <row r="68" spans="1:12">
      <c r="A68" s="27">
        <v>56</v>
      </c>
      <c r="B68" s="57">
        <v>200940564</v>
      </c>
      <c r="C68" s="58" t="s">
        <v>82</v>
      </c>
      <c r="D68" s="24">
        <v>6.3</v>
      </c>
      <c r="E68" s="24">
        <v>4.62</v>
      </c>
      <c r="F68" s="24">
        <v>7.28</v>
      </c>
      <c r="G68" s="24">
        <v>0</v>
      </c>
      <c r="H68" s="24">
        <v>0</v>
      </c>
      <c r="I68" s="24">
        <f>21.03-18.2</f>
        <v>2.8300000000000018</v>
      </c>
      <c r="J68" s="24">
        <f t="shared" si="0"/>
        <v>21.030000000000005</v>
      </c>
      <c r="K68" s="24" t="s">
        <v>475</v>
      </c>
      <c r="L68" s="25">
        <f t="shared" si="7"/>
        <v>21.030000000000005</v>
      </c>
    </row>
    <row r="69" spans="1:12">
      <c r="A69" s="27">
        <v>57</v>
      </c>
      <c r="B69" s="45">
        <v>200940775</v>
      </c>
      <c r="C69" s="56" t="s">
        <v>83</v>
      </c>
      <c r="D69" s="24">
        <v>2.94</v>
      </c>
      <c r="E69" s="24">
        <v>4.2</v>
      </c>
      <c r="F69" s="24">
        <v>2.8</v>
      </c>
      <c r="G69" s="24">
        <v>0</v>
      </c>
      <c r="H69" s="24">
        <v>0</v>
      </c>
      <c r="I69" s="24">
        <f>11.62-9.94</f>
        <v>1.6799999999999997</v>
      </c>
      <c r="J69" s="24">
        <f t="shared" si="0"/>
        <v>11.62</v>
      </c>
      <c r="K69" s="24" t="s">
        <v>475</v>
      </c>
      <c r="L69" s="25">
        <f t="shared" si="7"/>
        <v>11.62</v>
      </c>
    </row>
    <row r="70" spans="1:12">
      <c r="A70" s="27">
        <v>58</v>
      </c>
      <c r="B70" s="45">
        <v>200940802</v>
      </c>
      <c r="C70" s="56" t="s">
        <v>84</v>
      </c>
      <c r="D70" s="24">
        <v>6.3</v>
      </c>
      <c r="E70" s="24">
        <v>6.02</v>
      </c>
      <c r="F70" s="24">
        <v>7.56</v>
      </c>
      <c r="G70" s="24">
        <v>6.72</v>
      </c>
      <c r="H70" s="24">
        <v>8.68</v>
      </c>
      <c r="I70" s="24">
        <f>43.77-35.28</f>
        <v>8.490000000000002</v>
      </c>
      <c r="J70" s="24">
        <f t="shared" si="0"/>
        <v>43.769999999999996</v>
      </c>
      <c r="K70" s="24">
        <v>3.6</v>
      </c>
      <c r="L70" s="25">
        <f t="shared" si="1"/>
        <v>47.37</v>
      </c>
    </row>
    <row r="71" spans="1:12">
      <c r="A71" s="27">
        <v>59</v>
      </c>
      <c r="B71" s="45">
        <v>200942768</v>
      </c>
      <c r="C71" s="56" t="s">
        <v>85</v>
      </c>
      <c r="D71" s="24">
        <v>9.1</v>
      </c>
      <c r="E71" s="24">
        <v>5.88</v>
      </c>
      <c r="F71" s="24">
        <v>2.8</v>
      </c>
      <c r="G71" s="24">
        <v>1.96</v>
      </c>
      <c r="H71" s="24">
        <v>0</v>
      </c>
      <c r="I71" s="24">
        <f>23.42-19.74</f>
        <v>3.6800000000000033</v>
      </c>
      <c r="J71" s="24">
        <f t="shared" si="0"/>
        <v>23.42</v>
      </c>
      <c r="K71" s="24" t="s">
        <v>475</v>
      </c>
      <c r="L71" s="25">
        <f>+J71</f>
        <v>23.42</v>
      </c>
    </row>
    <row r="72" spans="1:12">
      <c r="A72" s="27">
        <v>60</v>
      </c>
      <c r="B72" s="45">
        <v>200943635</v>
      </c>
      <c r="C72" s="56" t="s">
        <v>86</v>
      </c>
      <c r="D72" s="24">
        <v>2.52</v>
      </c>
      <c r="E72" s="24">
        <v>3.78</v>
      </c>
      <c r="F72" s="24">
        <v>7.28</v>
      </c>
      <c r="G72" s="24">
        <v>5.32</v>
      </c>
      <c r="H72" s="24">
        <v>0</v>
      </c>
      <c r="I72" s="24">
        <f>24.14-18.9</f>
        <v>5.240000000000002</v>
      </c>
      <c r="J72" s="24">
        <f t="shared" si="0"/>
        <v>24.140000000000004</v>
      </c>
      <c r="K72" s="24" t="s">
        <v>475</v>
      </c>
      <c r="L72" s="25">
        <f t="shared" ref="L72:L76" si="8">+J72</f>
        <v>24.140000000000004</v>
      </c>
    </row>
    <row r="73" spans="1:12">
      <c r="A73" s="27">
        <v>61</v>
      </c>
      <c r="B73" s="45">
        <v>200944076</v>
      </c>
      <c r="C73" s="56" t="s">
        <v>87</v>
      </c>
      <c r="D73" s="24">
        <v>6.3</v>
      </c>
      <c r="E73" s="24">
        <v>6.58</v>
      </c>
      <c r="F73" s="24">
        <v>6.58</v>
      </c>
      <c r="G73" s="24">
        <v>4.76</v>
      </c>
      <c r="H73" s="24">
        <v>0</v>
      </c>
      <c r="I73" s="24">
        <f>27.9-24.22</f>
        <v>3.6799999999999997</v>
      </c>
      <c r="J73" s="24">
        <f t="shared" si="0"/>
        <v>27.900000000000002</v>
      </c>
      <c r="K73" s="24" t="s">
        <v>475</v>
      </c>
      <c r="L73" s="25">
        <f t="shared" si="8"/>
        <v>27.900000000000002</v>
      </c>
    </row>
    <row r="74" spans="1:12">
      <c r="A74" s="27">
        <v>62</v>
      </c>
      <c r="B74" s="45">
        <v>200944407</v>
      </c>
      <c r="C74" s="56" t="s">
        <v>88</v>
      </c>
      <c r="D74" s="24">
        <v>6.16</v>
      </c>
      <c r="E74" s="24">
        <v>5.04</v>
      </c>
      <c r="F74" s="24">
        <v>4.9000000000000004</v>
      </c>
      <c r="G74" s="24">
        <v>5.32</v>
      </c>
      <c r="H74" s="24">
        <v>0</v>
      </c>
      <c r="I74" s="24">
        <f>25.05-21.42</f>
        <v>3.629999999999999</v>
      </c>
      <c r="J74" s="24">
        <f t="shared" si="0"/>
        <v>25.05</v>
      </c>
      <c r="K74" s="24" t="s">
        <v>475</v>
      </c>
      <c r="L74" s="25">
        <f t="shared" si="8"/>
        <v>25.05</v>
      </c>
    </row>
    <row r="75" spans="1:12">
      <c r="A75" s="27">
        <v>63</v>
      </c>
      <c r="B75" s="45">
        <v>200945275</v>
      </c>
      <c r="C75" s="56" t="s">
        <v>89</v>
      </c>
      <c r="D75" s="24">
        <v>4.2</v>
      </c>
      <c r="E75" s="24">
        <v>10.220000000000001</v>
      </c>
      <c r="F75" s="24">
        <v>5.74</v>
      </c>
      <c r="G75" s="24">
        <v>2.52</v>
      </c>
      <c r="H75" s="24">
        <v>9.1999999999999993</v>
      </c>
      <c r="I75" s="24">
        <v>9.66</v>
      </c>
      <c r="J75" s="24">
        <f t="shared" si="0"/>
        <v>41.54</v>
      </c>
      <c r="K75" s="24">
        <v>4.2</v>
      </c>
      <c r="L75" s="25">
        <f>+K75+J75</f>
        <v>45.74</v>
      </c>
    </row>
    <row r="76" spans="1:12">
      <c r="A76" s="27">
        <v>64</v>
      </c>
      <c r="B76" s="45">
        <v>200945795</v>
      </c>
      <c r="C76" s="56" t="s">
        <v>90</v>
      </c>
      <c r="D76" s="24">
        <v>2.2400000000000002</v>
      </c>
      <c r="E76" s="24">
        <v>3.22</v>
      </c>
      <c r="F76" s="24">
        <v>3.64</v>
      </c>
      <c r="G76" s="24">
        <v>1.1200000000000001</v>
      </c>
      <c r="H76" s="24">
        <v>0</v>
      </c>
      <c r="I76" s="24">
        <f>13.4-10.22</f>
        <v>3.1799999999999997</v>
      </c>
      <c r="J76" s="24">
        <f t="shared" si="0"/>
        <v>13.4</v>
      </c>
      <c r="K76" s="24" t="s">
        <v>475</v>
      </c>
      <c r="L76" s="25">
        <f t="shared" si="8"/>
        <v>13.4</v>
      </c>
    </row>
    <row r="77" spans="1:12">
      <c r="A77" s="29"/>
      <c r="B77" s="29"/>
      <c r="C77" s="30"/>
      <c r="D77" s="31"/>
      <c r="E77" s="31"/>
      <c r="F77" s="31"/>
      <c r="G77" s="31"/>
      <c r="H77" s="31"/>
      <c r="I77" s="31"/>
      <c r="J77" s="31"/>
      <c r="K77" s="31"/>
      <c r="L77" s="32"/>
    </row>
    <row r="78" spans="1:12">
      <c r="A78" s="29"/>
      <c r="B78" s="29"/>
      <c r="C78" s="30"/>
      <c r="D78" s="31"/>
      <c r="E78" s="31"/>
      <c r="F78" s="31"/>
      <c r="G78" s="31"/>
      <c r="H78" s="31"/>
      <c r="I78" s="31"/>
      <c r="J78" s="31"/>
      <c r="K78" s="31"/>
      <c r="L78" s="32"/>
    </row>
    <row r="79" spans="1:12" ht="17.25" thickBot="1">
      <c r="A79" s="33"/>
      <c r="B79" s="33"/>
      <c r="C79" s="34"/>
      <c r="D79" s="31"/>
      <c r="E79" s="31"/>
      <c r="F79" s="31"/>
      <c r="G79" s="31"/>
      <c r="H79" s="35"/>
      <c r="I79" s="35"/>
      <c r="J79" s="35"/>
      <c r="K79" s="9"/>
      <c r="L79" s="32"/>
    </row>
    <row r="80" spans="1:12">
      <c r="H80" s="100" t="s">
        <v>439</v>
      </c>
      <c r="I80" s="100"/>
      <c r="J80" s="100"/>
      <c r="L80" s="1"/>
    </row>
    <row r="81" spans="1:12">
      <c r="D81" s="36"/>
      <c r="H81" s="100" t="s">
        <v>430</v>
      </c>
      <c r="I81" s="100"/>
      <c r="J81" s="100"/>
      <c r="L81" s="1"/>
    </row>
    <row r="82" spans="1:12">
      <c r="D82" s="36"/>
      <c r="H82" s="100" t="s">
        <v>440</v>
      </c>
      <c r="I82" s="100"/>
      <c r="J82" s="100"/>
      <c r="L82" s="1"/>
    </row>
    <row r="85" spans="1:12" ht="17.25" thickBot="1">
      <c r="A85" s="1" t="s">
        <v>0</v>
      </c>
      <c r="I85" s="3"/>
    </row>
    <row r="86" spans="1:12">
      <c r="A86" s="1" t="s">
        <v>1</v>
      </c>
      <c r="F86" s="4"/>
      <c r="G86" s="5"/>
      <c r="H86" s="6"/>
      <c r="I86" s="7"/>
    </row>
    <row r="87" spans="1:12">
      <c r="A87" s="8" t="s">
        <v>2</v>
      </c>
      <c r="B87" s="9"/>
      <c r="E87" s="7"/>
      <c r="F87" s="10"/>
      <c r="G87" s="11"/>
      <c r="H87" s="12"/>
      <c r="I87" s="7"/>
    </row>
    <row r="88" spans="1:12" ht="17.25" thickBot="1">
      <c r="A88" s="13" t="s">
        <v>3</v>
      </c>
      <c r="B88" s="9"/>
      <c r="E88" s="7"/>
      <c r="F88" s="10"/>
      <c r="G88" s="11"/>
      <c r="H88" s="12"/>
      <c r="I88" s="7"/>
    </row>
    <row r="89" spans="1:12" ht="17.25" thickBot="1">
      <c r="A89" s="14" t="s">
        <v>22</v>
      </c>
      <c r="B89" s="15"/>
      <c r="C89" s="16"/>
      <c r="E89" s="7"/>
      <c r="F89" s="17"/>
      <c r="G89" s="18"/>
      <c r="H89" s="19"/>
      <c r="I89" s="7"/>
    </row>
    <row r="90" spans="1:12">
      <c r="A90" s="8"/>
      <c r="B90" s="9"/>
      <c r="E90" s="7"/>
      <c r="I90" s="3"/>
    </row>
    <row r="91" spans="1:12">
      <c r="A91" s="1" t="s">
        <v>91</v>
      </c>
      <c r="B91" s="9"/>
      <c r="C91" s="20" t="s">
        <v>99</v>
      </c>
      <c r="E91" s="7"/>
      <c r="I91" s="3"/>
    </row>
    <row r="92" spans="1:12">
      <c r="A92" s="1" t="s">
        <v>4</v>
      </c>
      <c r="C92" s="20" t="s">
        <v>437</v>
      </c>
      <c r="I92" s="3"/>
    </row>
    <row r="93" spans="1:12">
      <c r="A93" s="1" t="s">
        <v>5</v>
      </c>
      <c r="C93" s="20" t="s">
        <v>438</v>
      </c>
    </row>
    <row r="94" spans="1:12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2">
      <c r="A95" s="1"/>
      <c r="C95" s="22" t="s">
        <v>6</v>
      </c>
      <c r="D95" s="22" t="s">
        <v>441</v>
      </c>
      <c r="E95" s="22" t="s">
        <v>441</v>
      </c>
      <c r="F95" s="22" t="s">
        <v>441</v>
      </c>
      <c r="G95" s="22" t="s">
        <v>441</v>
      </c>
      <c r="H95" s="22" t="s">
        <v>441</v>
      </c>
      <c r="I95" s="22" t="s">
        <v>442</v>
      </c>
      <c r="J95" s="22" t="s">
        <v>8</v>
      </c>
      <c r="K95" s="22" t="s">
        <v>7</v>
      </c>
      <c r="L95" s="22" t="s">
        <v>9</v>
      </c>
    </row>
    <row r="96" spans="1:12">
      <c r="A96" s="22" t="s">
        <v>10</v>
      </c>
      <c r="B96" s="22" t="s">
        <v>11</v>
      </c>
      <c r="C96" s="22" t="s">
        <v>12</v>
      </c>
      <c r="D96" s="22" t="s">
        <v>13</v>
      </c>
      <c r="E96" s="22" t="s">
        <v>14</v>
      </c>
      <c r="F96" s="22" t="s">
        <v>15</v>
      </c>
      <c r="G96" s="22" t="s">
        <v>16</v>
      </c>
      <c r="H96" s="22" t="s">
        <v>17</v>
      </c>
      <c r="I96" s="22" t="s">
        <v>95</v>
      </c>
      <c r="J96" s="22" t="s">
        <v>18</v>
      </c>
      <c r="K96" s="22" t="s">
        <v>19</v>
      </c>
      <c r="L96" s="22" t="s">
        <v>20</v>
      </c>
    </row>
    <row r="97" spans="1:12">
      <c r="A97" s="23">
        <v>1</v>
      </c>
      <c r="B97" s="45">
        <v>200741800</v>
      </c>
      <c r="C97" s="56" t="s">
        <v>102</v>
      </c>
      <c r="D97" s="24">
        <v>4.62</v>
      </c>
      <c r="E97" s="24">
        <v>10.220000000000001</v>
      </c>
      <c r="F97" s="24">
        <v>4.76</v>
      </c>
      <c r="G97" s="24">
        <v>5.6</v>
      </c>
      <c r="H97" s="24">
        <v>9.8000000000000007</v>
      </c>
      <c r="I97" s="24">
        <f>44-35</f>
        <v>9</v>
      </c>
      <c r="J97" s="24">
        <f>+I97+H97+G97+F97+E97+D97</f>
        <v>43.999999999999993</v>
      </c>
      <c r="K97" s="24">
        <v>8.6</v>
      </c>
      <c r="L97" s="25">
        <f>+K97+J97</f>
        <v>52.599999999999994</v>
      </c>
    </row>
    <row r="98" spans="1:12">
      <c r="A98" s="26">
        <v>2</v>
      </c>
      <c r="B98" s="57">
        <v>200741813</v>
      </c>
      <c r="C98" s="56" t="s">
        <v>103</v>
      </c>
      <c r="D98" s="24">
        <v>5.6</v>
      </c>
      <c r="E98" s="24">
        <v>7.84</v>
      </c>
      <c r="F98" s="24">
        <v>7.28</v>
      </c>
      <c r="G98" s="24">
        <v>5.88</v>
      </c>
      <c r="H98" s="24">
        <v>8.1199999999999992</v>
      </c>
      <c r="I98" s="24">
        <f>43.19-34.72</f>
        <v>8.4699999999999989</v>
      </c>
      <c r="J98" s="24">
        <f t="shared" ref="J98:J162" si="9">+I98+H98+G98+F98+E98+D98</f>
        <v>43.19</v>
      </c>
      <c r="K98" s="24" t="s">
        <v>476</v>
      </c>
      <c r="L98" s="25">
        <v>43.19</v>
      </c>
    </row>
    <row r="99" spans="1:12">
      <c r="A99" s="27">
        <v>3</v>
      </c>
      <c r="B99" s="45">
        <v>200741817</v>
      </c>
      <c r="C99" s="56" t="s">
        <v>104</v>
      </c>
      <c r="D99" s="24">
        <v>2.8</v>
      </c>
      <c r="E99" s="24">
        <v>4.62</v>
      </c>
      <c r="F99" s="24">
        <v>7.28</v>
      </c>
      <c r="G99" s="24">
        <v>6.44</v>
      </c>
      <c r="H99" s="24">
        <v>4.34</v>
      </c>
      <c r="I99" s="24">
        <f>34.22-25.48</f>
        <v>8.7399999999999984</v>
      </c>
      <c r="J99" s="24">
        <f t="shared" si="9"/>
        <v>34.22</v>
      </c>
      <c r="K99" s="24" t="s">
        <v>475</v>
      </c>
      <c r="L99" s="25">
        <f>+J99</f>
        <v>34.22</v>
      </c>
    </row>
    <row r="100" spans="1:12">
      <c r="A100" s="26">
        <v>4</v>
      </c>
      <c r="B100" s="45">
        <v>200742769</v>
      </c>
      <c r="C100" s="56" t="s">
        <v>105</v>
      </c>
      <c r="D100" s="24">
        <v>3.5</v>
      </c>
      <c r="E100" s="24">
        <v>5.04</v>
      </c>
      <c r="F100" s="24">
        <v>4.34</v>
      </c>
      <c r="G100" s="24">
        <v>2.52</v>
      </c>
      <c r="H100" s="24">
        <v>0</v>
      </c>
      <c r="I100" s="24">
        <f>18.68-15.4</f>
        <v>3.2799999999999994</v>
      </c>
      <c r="J100" s="24">
        <f t="shared" si="9"/>
        <v>18.68</v>
      </c>
      <c r="K100" s="24" t="s">
        <v>475</v>
      </c>
      <c r="L100" s="25">
        <f t="shared" ref="L100:L102" si="10">+J100</f>
        <v>18.68</v>
      </c>
    </row>
    <row r="101" spans="1:12">
      <c r="A101" s="26">
        <v>5</v>
      </c>
      <c r="B101" s="57">
        <v>200742775</v>
      </c>
      <c r="C101" s="60" t="s">
        <v>106</v>
      </c>
      <c r="D101" s="24">
        <v>5.6</v>
      </c>
      <c r="E101" s="24">
        <v>5.6</v>
      </c>
      <c r="F101" s="24">
        <v>6.16</v>
      </c>
      <c r="G101" s="24">
        <v>3.36</v>
      </c>
      <c r="H101" s="24">
        <v>0</v>
      </c>
      <c r="I101" s="24">
        <f>28.84-20.72</f>
        <v>8.120000000000001</v>
      </c>
      <c r="J101" s="24">
        <f t="shared" si="9"/>
        <v>28.840000000000003</v>
      </c>
      <c r="K101" s="24" t="s">
        <v>475</v>
      </c>
      <c r="L101" s="25">
        <f t="shared" si="10"/>
        <v>28.840000000000003</v>
      </c>
    </row>
    <row r="102" spans="1:12">
      <c r="A102" s="26">
        <v>6</v>
      </c>
      <c r="B102" s="45">
        <v>200840061</v>
      </c>
      <c r="C102" s="56" t="s">
        <v>108</v>
      </c>
      <c r="D102" s="24">
        <v>4.9000000000000004</v>
      </c>
      <c r="E102" s="24">
        <v>5.46</v>
      </c>
      <c r="F102" s="24">
        <v>3.08</v>
      </c>
      <c r="G102" s="24">
        <v>0</v>
      </c>
      <c r="H102" s="24">
        <v>0</v>
      </c>
      <c r="I102" s="24">
        <f>15.18-13.44</f>
        <v>1.7400000000000002</v>
      </c>
      <c r="J102" s="24">
        <f t="shared" si="9"/>
        <v>15.180000000000001</v>
      </c>
      <c r="K102" s="24" t="s">
        <v>475</v>
      </c>
      <c r="L102" s="25">
        <f t="shared" si="10"/>
        <v>15.180000000000001</v>
      </c>
    </row>
    <row r="103" spans="1:12">
      <c r="A103" s="26">
        <v>7</v>
      </c>
      <c r="B103" s="45">
        <v>200840066</v>
      </c>
      <c r="C103" s="56" t="s">
        <v>109</v>
      </c>
      <c r="D103" s="24">
        <v>8.5399999999999991</v>
      </c>
      <c r="E103" s="24">
        <v>11.48</v>
      </c>
      <c r="F103" s="24">
        <v>9.24</v>
      </c>
      <c r="G103" s="24">
        <v>11.2</v>
      </c>
      <c r="H103" s="24">
        <v>9.66</v>
      </c>
      <c r="I103" s="24">
        <f>59.39-50.12</f>
        <v>9.2700000000000031</v>
      </c>
      <c r="J103" s="24">
        <f t="shared" si="9"/>
        <v>59.390000000000008</v>
      </c>
      <c r="K103" s="24">
        <v>15.4</v>
      </c>
      <c r="L103" s="25">
        <f t="shared" ref="L103:L143" si="11">+K103+J103</f>
        <v>74.790000000000006</v>
      </c>
    </row>
    <row r="104" spans="1:12">
      <c r="A104" s="26">
        <v>8</v>
      </c>
      <c r="B104" s="45">
        <v>200840078</v>
      </c>
      <c r="C104" s="56" t="s">
        <v>110</v>
      </c>
      <c r="D104" s="24">
        <v>2.2400000000000002</v>
      </c>
      <c r="E104" s="24">
        <v>3.64</v>
      </c>
      <c r="F104" s="24">
        <v>0</v>
      </c>
      <c r="G104" s="24">
        <v>0</v>
      </c>
      <c r="H104" s="24">
        <v>0</v>
      </c>
      <c r="I104" s="24">
        <f>7.49-5.88</f>
        <v>1.6100000000000003</v>
      </c>
      <c r="J104" s="24">
        <f t="shared" si="9"/>
        <v>7.49</v>
      </c>
      <c r="K104" s="24" t="s">
        <v>475</v>
      </c>
      <c r="L104" s="25">
        <f>+J104</f>
        <v>7.49</v>
      </c>
    </row>
    <row r="105" spans="1:12">
      <c r="A105" s="26">
        <v>9</v>
      </c>
      <c r="B105" s="45">
        <v>200840159</v>
      </c>
      <c r="C105" s="56" t="s">
        <v>111</v>
      </c>
      <c r="D105" s="24">
        <v>9.66</v>
      </c>
      <c r="E105" s="24">
        <v>11.62</v>
      </c>
      <c r="F105" s="24">
        <v>9.1</v>
      </c>
      <c r="G105" s="24">
        <v>10.36</v>
      </c>
      <c r="H105" s="24">
        <v>8.1199999999999992</v>
      </c>
      <c r="I105" s="24">
        <f>58.08-48.86</f>
        <v>9.2199999999999989</v>
      </c>
      <c r="J105" s="24">
        <f t="shared" si="9"/>
        <v>58.08</v>
      </c>
      <c r="K105" s="24">
        <v>15.2</v>
      </c>
      <c r="L105" s="25">
        <f t="shared" si="11"/>
        <v>73.28</v>
      </c>
    </row>
    <row r="106" spans="1:12">
      <c r="A106" s="26">
        <v>10</v>
      </c>
      <c r="B106" s="45">
        <v>200840184</v>
      </c>
      <c r="C106" s="56" t="s">
        <v>112</v>
      </c>
      <c r="D106" s="24">
        <v>4.9000000000000004</v>
      </c>
      <c r="E106" s="24">
        <v>6.72</v>
      </c>
      <c r="F106" s="24">
        <v>7.14</v>
      </c>
      <c r="G106" s="24">
        <v>6.44</v>
      </c>
      <c r="H106" s="24">
        <v>10.08</v>
      </c>
      <c r="I106" s="24">
        <f>42.64-33.88</f>
        <v>8.759999999999998</v>
      </c>
      <c r="J106" s="24">
        <f t="shared" si="9"/>
        <v>44.039999999999992</v>
      </c>
      <c r="K106" s="24">
        <v>3.2</v>
      </c>
      <c r="L106" s="25">
        <f t="shared" si="11"/>
        <v>47.239999999999995</v>
      </c>
    </row>
    <row r="107" spans="1:12">
      <c r="A107" s="26">
        <v>11</v>
      </c>
      <c r="B107" s="45">
        <v>200840195</v>
      </c>
      <c r="C107" s="56" t="s">
        <v>113</v>
      </c>
      <c r="D107" s="24">
        <v>4.62</v>
      </c>
      <c r="E107" s="24">
        <v>5.04</v>
      </c>
      <c r="F107" s="24">
        <v>2.2400000000000002</v>
      </c>
      <c r="G107" s="24">
        <v>1.4</v>
      </c>
      <c r="H107" s="28">
        <v>1.68</v>
      </c>
      <c r="I107" s="28">
        <f>18.78-14.98</f>
        <v>3.8000000000000007</v>
      </c>
      <c r="J107" s="24">
        <f t="shared" si="9"/>
        <v>18.78</v>
      </c>
      <c r="K107" s="24" t="s">
        <v>475</v>
      </c>
      <c r="L107" s="25">
        <f>+J107</f>
        <v>18.78</v>
      </c>
    </row>
    <row r="108" spans="1:12">
      <c r="A108" s="26">
        <v>12</v>
      </c>
      <c r="B108" s="45">
        <v>200840196</v>
      </c>
      <c r="C108" s="56" t="s">
        <v>114</v>
      </c>
      <c r="D108" s="24">
        <v>10.36</v>
      </c>
      <c r="E108" s="24">
        <v>10.08</v>
      </c>
      <c r="F108" s="24">
        <v>9.52</v>
      </c>
      <c r="G108" s="24">
        <v>6.72</v>
      </c>
      <c r="H108" s="28">
        <v>10.5</v>
      </c>
      <c r="I108" s="28">
        <f>56.21-47.18</f>
        <v>9.0300000000000011</v>
      </c>
      <c r="J108" s="24">
        <f t="shared" si="9"/>
        <v>56.209999999999994</v>
      </c>
      <c r="K108" s="24">
        <v>5.6</v>
      </c>
      <c r="L108" s="25">
        <f t="shared" si="11"/>
        <v>61.809999999999995</v>
      </c>
    </row>
    <row r="109" spans="1:12">
      <c r="A109" s="26">
        <v>13</v>
      </c>
      <c r="B109" s="45">
        <v>200840208</v>
      </c>
      <c r="C109" s="56" t="s">
        <v>115</v>
      </c>
      <c r="D109" s="24">
        <v>6.16</v>
      </c>
      <c r="E109" s="24">
        <v>6.16</v>
      </c>
      <c r="F109" s="24">
        <v>7.28</v>
      </c>
      <c r="G109" s="24">
        <v>7</v>
      </c>
      <c r="H109" s="28">
        <v>7.14</v>
      </c>
      <c r="I109" s="28">
        <f>42.7-33.74</f>
        <v>8.9600000000000009</v>
      </c>
      <c r="J109" s="24">
        <f t="shared" si="9"/>
        <v>42.7</v>
      </c>
      <c r="K109" s="24">
        <v>2.6</v>
      </c>
      <c r="L109" s="25">
        <f t="shared" si="11"/>
        <v>45.300000000000004</v>
      </c>
    </row>
    <row r="110" spans="1:12">
      <c r="A110" s="23">
        <v>14</v>
      </c>
      <c r="B110" s="45">
        <v>200840212</v>
      </c>
      <c r="C110" s="56" t="s">
        <v>116</v>
      </c>
      <c r="D110" s="24">
        <v>2.94</v>
      </c>
      <c r="E110" s="24">
        <v>4.0599999999999996</v>
      </c>
      <c r="F110" s="24">
        <v>2.94</v>
      </c>
      <c r="G110" s="24">
        <v>0</v>
      </c>
      <c r="H110" s="28">
        <v>0</v>
      </c>
      <c r="I110" s="28">
        <f>11.62-9.94</f>
        <v>1.6799999999999997</v>
      </c>
      <c r="J110" s="24">
        <f t="shared" si="9"/>
        <v>11.62</v>
      </c>
      <c r="K110" s="24" t="s">
        <v>475</v>
      </c>
      <c r="L110" s="25">
        <f>+J110</f>
        <v>11.62</v>
      </c>
    </row>
    <row r="111" spans="1:12">
      <c r="A111" s="23">
        <v>15</v>
      </c>
      <c r="B111" s="45">
        <v>200840224</v>
      </c>
      <c r="C111" s="56" t="s">
        <v>117</v>
      </c>
      <c r="D111" s="24">
        <v>3.5</v>
      </c>
      <c r="E111" s="24">
        <v>7.42</v>
      </c>
      <c r="F111" s="24">
        <v>7.84</v>
      </c>
      <c r="G111" s="24">
        <v>7.28</v>
      </c>
      <c r="H111" s="24">
        <v>8.5399999999999991</v>
      </c>
      <c r="I111" s="24">
        <f>43.1-34.58</f>
        <v>8.5200000000000031</v>
      </c>
      <c r="J111" s="24">
        <f t="shared" si="9"/>
        <v>43.100000000000009</v>
      </c>
      <c r="K111" s="24">
        <v>2.2000000000000002</v>
      </c>
      <c r="L111" s="25">
        <f t="shared" si="11"/>
        <v>45.300000000000011</v>
      </c>
    </row>
    <row r="112" spans="1:12">
      <c r="A112" s="23">
        <v>16</v>
      </c>
      <c r="B112" s="45">
        <v>200840227</v>
      </c>
      <c r="C112" s="56" t="s">
        <v>118</v>
      </c>
      <c r="D112" s="24">
        <v>5.6</v>
      </c>
      <c r="E112" s="24">
        <v>7.14</v>
      </c>
      <c r="F112" s="24">
        <v>7</v>
      </c>
      <c r="G112" s="24">
        <v>4.76</v>
      </c>
      <c r="H112" s="24">
        <v>8.5399999999999991</v>
      </c>
      <c r="I112" s="24">
        <f>41.58-33.04</f>
        <v>8.5399999999999991</v>
      </c>
      <c r="J112" s="24">
        <f t="shared" si="9"/>
        <v>41.58</v>
      </c>
      <c r="K112" s="24">
        <v>4.2</v>
      </c>
      <c r="L112" s="25">
        <f t="shared" si="11"/>
        <v>45.78</v>
      </c>
    </row>
    <row r="113" spans="1:12">
      <c r="A113" s="23">
        <v>17</v>
      </c>
      <c r="B113" s="45">
        <v>200842035</v>
      </c>
      <c r="C113" s="56" t="s">
        <v>119</v>
      </c>
      <c r="D113" s="24">
        <v>6.02</v>
      </c>
      <c r="E113" s="24">
        <v>9.8000000000000007</v>
      </c>
      <c r="F113" s="24">
        <v>7</v>
      </c>
      <c r="G113" s="24">
        <v>5.6</v>
      </c>
      <c r="H113" s="24">
        <v>8.82</v>
      </c>
      <c r="I113" s="24">
        <f>46.06-37.24</f>
        <v>8.82</v>
      </c>
      <c r="J113" s="24">
        <f t="shared" si="9"/>
        <v>46.06</v>
      </c>
      <c r="K113" s="24">
        <v>2.8</v>
      </c>
      <c r="L113" s="25">
        <f t="shared" si="11"/>
        <v>48.86</v>
      </c>
    </row>
    <row r="114" spans="1:12">
      <c r="A114" s="27">
        <v>18</v>
      </c>
      <c r="B114" s="45">
        <v>200842055</v>
      </c>
      <c r="C114" s="59" t="s">
        <v>120</v>
      </c>
      <c r="D114" s="24">
        <v>10.5</v>
      </c>
      <c r="E114" s="24">
        <v>9.8000000000000007</v>
      </c>
      <c r="F114" s="24">
        <v>8.68</v>
      </c>
      <c r="G114" s="24">
        <v>8.4</v>
      </c>
      <c r="H114" s="24">
        <v>9.8000000000000007</v>
      </c>
      <c r="I114" s="24">
        <f>56.4-47.18</f>
        <v>9.2199999999999989</v>
      </c>
      <c r="J114" s="24">
        <f t="shared" si="9"/>
        <v>56.400000000000006</v>
      </c>
      <c r="K114" s="24">
        <v>5.8</v>
      </c>
      <c r="L114" s="25">
        <f t="shared" si="11"/>
        <v>62.2</v>
      </c>
    </row>
    <row r="115" spans="1:12">
      <c r="A115" s="27">
        <v>19</v>
      </c>
      <c r="B115" s="57">
        <v>200842082</v>
      </c>
      <c r="C115" s="60" t="s">
        <v>121</v>
      </c>
      <c r="D115" s="24">
        <v>5.74</v>
      </c>
      <c r="E115" s="24">
        <v>9.1</v>
      </c>
      <c r="F115" s="24">
        <v>10.08</v>
      </c>
      <c r="G115" s="24">
        <v>7.84</v>
      </c>
      <c r="H115" s="24">
        <v>6.44</v>
      </c>
      <c r="I115" s="24">
        <f>48.02-39.2</f>
        <v>8.82</v>
      </c>
      <c r="J115" s="24">
        <f t="shared" si="9"/>
        <v>48.02</v>
      </c>
      <c r="K115" s="24">
        <v>3.8</v>
      </c>
      <c r="L115" s="25">
        <f t="shared" si="11"/>
        <v>51.82</v>
      </c>
    </row>
    <row r="116" spans="1:12">
      <c r="A116" s="27">
        <v>20</v>
      </c>
      <c r="B116" s="45">
        <v>200842083</v>
      </c>
      <c r="C116" s="56" t="s">
        <v>122</v>
      </c>
      <c r="D116" s="24">
        <v>2.2400000000000002</v>
      </c>
      <c r="E116" s="24">
        <v>8.5399999999999991</v>
      </c>
      <c r="F116" s="24">
        <v>6.72</v>
      </c>
      <c r="G116" s="24">
        <v>7.84</v>
      </c>
      <c r="H116" s="24">
        <v>8.94</v>
      </c>
      <c r="I116" s="24">
        <f>41.19-32.48</f>
        <v>8.7100000000000009</v>
      </c>
      <c r="J116" s="24">
        <f t="shared" si="9"/>
        <v>42.99</v>
      </c>
      <c r="K116" s="24">
        <v>2.8</v>
      </c>
      <c r="L116" s="25">
        <f t="shared" si="11"/>
        <v>45.79</v>
      </c>
    </row>
    <row r="117" spans="1:12">
      <c r="A117" s="27">
        <v>21</v>
      </c>
      <c r="B117" s="45">
        <v>200842123</v>
      </c>
      <c r="C117" s="56" t="s">
        <v>123</v>
      </c>
      <c r="D117" s="24">
        <v>4.62</v>
      </c>
      <c r="E117" s="24">
        <v>4.0599999999999996</v>
      </c>
      <c r="F117" s="24">
        <v>4.0599999999999996</v>
      </c>
      <c r="G117" s="24">
        <v>2.52</v>
      </c>
      <c r="H117" s="24">
        <v>0</v>
      </c>
      <c r="I117" s="24">
        <f>18.78-15.26</f>
        <v>3.5200000000000014</v>
      </c>
      <c r="J117" s="24">
        <f t="shared" si="9"/>
        <v>18.78</v>
      </c>
      <c r="K117" s="24" t="s">
        <v>475</v>
      </c>
      <c r="L117" s="25">
        <f>+J117</f>
        <v>18.78</v>
      </c>
    </row>
    <row r="118" spans="1:12">
      <c r="A118" s="27">
        <v>22</v>
      </c>
      <c r="B118" s="57">
        <v>200843271</v>
      </c>
      <c r="C118" s="59" t="s">
        <v>124</v>
      </c>
      <c r="D118" s="24">
        <v>2.2400000000000002</v>
      </c>
      <c r="E118" s="24">
        <v>1.68</v>
      </c>
      <c r="F118" s="24">
        <v>2.1</v>
      </c>
      <c r="G118" s="24">
        <v>0</v>
      </c>
      <c r="H118" s="24">
        <v>0</v>
      </c>
      <c r="I118" s="24">
        <f>7.63-6.02</f>
        <v>1.6100000000000003</v>
      </c>
      <c r="J118" s="24">
        <f t="shared" si="9"/>
        <v>7.6300000000000008</v>
      </c>
      <c r="K118" s="24" t="s">
        <v>475</v>
      </c>
      <c r="L118" s="25">
        <f t="shared" ref="L118:L123" si="12">+J118</f>
        <v>7.6300000000000008</v>
      </c>
    </row>
    <row r="119" spans="1:12">
      <c r="A119" s="27">
        <v>23</v>
      </c>
      <c r="B119" s="45">
        <v>200843353</v>
      </c>
      <c r="C119" s="56" t="s">
        <v>125</v>
      </c>
      <c r="D119" s="24">
        <v>2.94</v>
      </c>
      <c r="E119" s="24">
        <v>5.46</v>
      </c>
      <c r="F119" s="24">
        <v>3.5</v>
      </c>
      <c r="G119" s="24">
        <v>2.2400000000000002</v>
      </c>
      <c r="H119" s="24">
        <v>0</v>
      </c>
      <c r="I119" s="24">
        <f>17.89-14.14</f>
        <v>3.75</v>
      </c>
      <c r="J119" s="24">
        <f t="shared" si="9"/>
        <v>17.89</v>
      </c>
      <c r="K119" s="24" t="s">
        <v>475</v>
      </c>
      <c r="L119" s="25">
        <f t="shared" si="12"/>
        <v>17.89</v>
      </c>
    </row>
    <row r="120" spans="1:12">
      <c r="A120" s="27">
        <v>24</v>
      </c>
      <c r="B120" s="45">
        <v>200940315</v>
      </c>
      <c r="C120" s="59" t="s">
        <v>126</v>
      </c>
      <c r="D120" s="24">
        <v>7.56</v>
      </c>
      <c r="E120" s="24">
        <v>0</v>
      </c>
      <c r="F120" s="24">
        <v>0</v>
      </c>
      <c r="G120" s="24">
        <v>0</v>
      </c>
      <c r="H120" s="24">
        <v>0</v>
      </c>
      <c r="I120" s="24">
        <f>9.2-7.56</f>
        <v>1.6399999999999997</v>
      </c>
      <c r="J120" s="24">
        <f t="shared" si="9"/>
        <v>9.1999999999999993</v>
      </c>
      <c r="K120" s="24" t="s">
        <v>475</v>
      </c>
      <c r="L120" s="25">
        <f t="shared" si="12"/>
        <v>9.1999999999999993</v>
      </c>
    </row>
    <row r="121" spans="1:12">
      <c r="A121" s="27">
        <v>25</v>
      </c>
      <c r="B121" s="45">
        <v>200940317</v>
      </c>
      <c r="C121" s="56" t="s">
        <v>127</v>
      </c>
      <c r="D121" s="24">
        <v>2.94</v>
      </c>
      <c r="E121" s="24">
        <v>3.64</v>
      </c>
      <c r="F121" s="24">
        <v>7.28</v>
      </c>
      <c r="G121" s="24">
        <v>8.4</v>
      </c>
      <c r="H121" s="24">
        <v>6.44</v>
      </c>
      <c r="I121" s="24">
        <f>37.53-28.7</f>
        <v>8.8300000000000018</v>
      </c>
      <c r="J121" s="24">
        <f t="shared" si="9"/>
        <v>37.53</v>
      </c>
      <c r="K121" s="24" t="s">
        <v>475</v>
      </c>
      <c r="L121" s="25">
        <f t="shared" si="12"/>
        <v>37.53</v>
      </c>
    </row>
    <row r="122" spans="1:12">
      <c r="A122" s="27">
        <v>26</v>
      </c>
      <c r="B122" s="45">
        <v>200940331</v>
      </c>
      <c r="C122" s="56" t="s">
        <v>128</v>
      </c>
      <c r="D122" s="24">
        <v>2.94</v>
      </c>
      <c r="E122" s="24">
        <v>8.5399999999999991</v>
      </c>
      <c r="F122" s="24">
        <v>8.26</v>
      </c>
      <c r="G122" s="24">
        <v>5.04</v>
      </c>
      <c r="H122" s="24">
        <v>5.6</v>
      </c>
      <c r="I122" s="24">
        <f>38.81-30.38</f>
        <v>8.4300000000000033</v>
      </c>
      <c r="J122" s="24">
        <f t="shared" si="9"/>
        <v>38.81</v>
      </c>
      <c r="K122" s="24" t="s">
        <v>475</v>
      </c>
      <c r="L122" s="25">
        <f t="shared" si="12"/>
        <v>38.81</v>
      </c>
    </row>
    <row r="123" spans="1:12">
      <c r="A123" s="27">
        <v>27</v>
      </c>
      <c r="B123" s="45">
        <v>200940334</v>
      </c>
      <c r="C123" s="59" t="s">
        <v>129</v>
      </c>
      <c r="D123" s="24">
        <v>2.94</v>
      </c>
      <c r="E123" s="24">
        <v>5.32</v>
      </c>
      <c r="F123" s="24">
        <v>6.16</v>
      </c>
      <c r="G123" s="24">
        <v>5.32</v>
      </c>
      <c r="H123" s="24">
        <v>0</v>
      </c>
      <c r="I123" s="24">
        <f>27.84-19.74</f>
        <v>8.1000000000000014</v>
      </c>
      <c r="J123" s="24">
        <f t="shared" si="9"/>
        <v>27.840000000000003</v>
      </c>
      <c r="K123" s="24" t="s">
        <v>475</v>
      </c>
      <c r="L123" s="25">
        <f t="shared" si="12"/>
        <v>27.840000000000003</v>
      </c>
    </row>
    <row r="124" spans="1:12">
      <c r="A124" s="27">
        <v>28</v>
      </c>
      <c r="B124" s="57">
        <v>200940336</v>
      </c>
      <c r="C124" s="58" t="s">
        <v>130</v>
      </c>
      <c r="D124" s="24">
        <v>5.6</v>
      </c>
      <c r="E124" s="24">
        <v>7.56</v>
      </c>
      <c r="F124" s="24">
        <v>8.4</v>
      </c>
      <c r="G124" s="24">
        <v>5.04</v>
      </c>
      <c r="H124" s="24">
        <v>7</v>
      </c>
      <c r="I124" s="24">
        <f>42.03-33.6</f>
        <v>8.43</v>
      </c>
      <c r="J124" s="24">
        <f t="shared" si="9"/>
        <v>42.03</v>
      </c>
      <c r="K124" s="24">
        <v>2.6</v>
      </c>
      <c r="L124" s="25">
        <f t="shared" si="11"/>
        <v>44.63</v>
      </c>
    </row>
    <row r="125" spans="1:12">
      <c r="A125" s="27">
        <v>29</v>
      </c>
      <c r="B125" s="45">
        <v>200940345</v>
      </c>
      <c r="C125" s="56" t="s">
        <v>131</v>
      </c>
      <c r="D125" s="24">
        <v>4.62</v>
      </c>
      <c r="E125" s="24">
        <v>7.42</v>
      </c>
      <c r="F125" s="24">
        <v>5.6</v>
      </c>
      <c r="G125" s="24">
        <v>4.4800000000000004</v>
      </c>
      <c r="H125" s="24">
        <v>7.98</v>
      </c>
      <c r="I125" s="24">
        <f>38.58-30.1</f>
        <v>8.4799999999999969</v>
      </c>
      <c r="J125" s="24">
        <f t="shared" si="9"/>
        <v>38.58</v>
      </c>
      <c r="K125" s="24" t="s">
        <v>475</v>
      </c>
      <c r="L125" s="25">
        <f>+J125</f>
        <v>38.58</v>
      </c>
    </row>
    <row r="126" spans="1:12">
      <c r="A126" s="27">
        <v>30</v>
      </c>
      <c r="B126" s="45">
        <v>200940347</v>
      </c>
      <c r="C126" s="56" t="s">
        <v>132</v>
      </c>
      <c r="D126" s="24">
        <v>2.94</v>
      </c>
      <c r="E126" s="24">
        <v>5.32</v>
      </c>
      <c r="F126" s="24">
        <v>4.0599999999999996</v>
      </c>
      <c r="G126" s="24">
        <v>3.08</v>
      </c>
      <c r="H126" s="24">
        <v>0</v>
      </c>
      <c r="I126" s="24">
        <f>18.93-15.4</f>
        <v>3.5299999999999994</v>
      </c>
      <c r="J126" s="24">
        <f t="shared" si="9"/>
        <v>18.93</v>
      </c>
      <c r="K126" s="24" t="s">
        <v>475</v>
      </c>
      <c r="L126" s="25">
        <f t="shared" ref="L126:L127" si="13">+J126</f>
        <v>18.93</v>
      </c>
    </row>
    <row r="127" spans="1:12">
      <c r="A127" s="27">
        <v>31</v>
      </c>
      <c r="B127" s="45">
        <v>200940349</v>
      </c>
      <c r="C127" s="59" t="s">
        <v>133</v>
      </c>
      <c r="D127" s="24">
        <v>2.94</v>
      </c>
      <c r="E127" s="24">
        <v>4.62</v>
      </c>
      <c r="F127" s="24">
        <v>7.28</v>
      </c>
      <c r="G127" s="24">
        <v>3.92</v>
      </c>
      <c r="H127" s="24">
        <v>0</v>
      </c>
      <c r="I127" s="24">
        <f>26.96-18.76</f>
        <v>8.1999999999999993</v>
      </c>
      <c r="J127" s="24">
        <f t="shared" si="9"/>
        <v>26.96</v>
      </c>
      <c r="K127" s="24" t="s">
        <v>475</v>
      </c>
      <c r="L127" s="25">
        <f t="shared" si="13"/>
        <v>26.96</v>
      </c>
    </row>
    <row r="128" spans="1:12">
      <c r="A128" s="27">
        <v>32</v>
      </c>
      <c r="B128" s="45">
        <v>200940350</v>
      </c>
      <c r="C128" s="56" t="s">
        <v>134</v>
      </c>
      <c r="D128" s="24">
        <v>7.56</v>
      </c>
      <c r="E128" s="24">
        <v>6.16</v>
      </c>
      <c r="F128" s="24">
        <v>9.8000000000000007</v>
      </c>
      <c r="G128" s="24">
        <v>7.56</v>
      </c>
      <c r="H128" s="24">
        <v>5.6</v>
      </c>
      <c r="I128" s="24">
        <f>45.24-36.68</f>
        <v>8.5600000000000023</v>
      </c>
      <c r="J128" s="24">
        <f t="shared" si="9"/>
        <v>45.240000000000009</v>
      </c>
      <c r="K128" s="24">
        <v>5.4</v>
      </c>
      <c r="L128" s="25">
        <f t="shared" si="11"/>
        <v>50.640000000000008</v>
      </c>
    </row>
    <row r="129" spans="1:12">
      <c r="A129" s="27">
        <v>33</v>
      </c>
      <c r="B129" s="45">
        <v>200940483</v>
      </c>
      <c r="C129" s="56" t="s">
        <v>135</v>
      </c>
      <c r="D129" s="24">
        <v>6.02</v>
      </c>
      <c r="E129" s="24">
        <v>8.5399999999999991</v>
      </c>
      <c r="F129" s="24">
        <v>8.1199999999999992</v>
      </c>
      <c r="G129" s="24">
        <v>5.32</v>
      </c>
      <c r="H129" s="24">
        <v>7.14</v>
      </c>
      <c r="I129" s="24">
        <f>43.6-35.14</f>
        <v>8.4600000000000009</v>
      </c>
      <c r="J129" s="24">
        <f t="shared" si="9"/>
        <v>43.599999999999994</v>
      </c>
      <c r="K129" s="24">
        <v>4.4000000000000004</v>
      </c>
      <c r="L129" s="25">
        <f t="shared" si="11"/>
        <v>47.999999999999993</v>
      </c>
    </row>
    <row r="130" spans="1:12">
      <c r="A130" s="27">
        <v>34</v>
      </c>
      <c r="B130" s="45">
        <v>200940489</v>
      </c>
      <c r="C130" s="56" t="s">
        <v>136</v>
      </c>
      <c r="D130" s="24">
        <v>3.64</v>
      </c>
      <c r="E130" s="24">
        <v>4.0599999999999996</v>
      </c>
      <c r="F130" s="24">
        <v>7</v>
      </c>
      <c r="G130" s="24">
        <v>5.6</v>
      </c>
      <c r="H130" s="24">
        <v>0</v>
      </c>
      <c r="I130" s="24">
        <f>28.66-20.3</f>
        <v>8.36</v>
      </c>
      <c r="J130" s="24">
        <f t="shared" si="9"/>
        <v>28.66</v>
      </c>
      <c r="K130" s="24" t="s">
        <v>475</v>
      </c>
      <c r="L130" s="25">
        <f>+J130</f>
        <v>28.66</v>
      </c>
    </row>
    <row r="131" spans="1:12">
      <c r="A131" s="27">
        <v>35</v>
      </c>
      <c r="B131" s="45">
        <v>200940504</v>
      </c>
      <c r="C131" s="56" t="s">
        <v>137</v>
      </c>
      <c r="D131" s="24">
        <v>10.92</v>
      </c>
      <c r="E131" s="24">
        <v>6.02</v>
      </c>
      <c r="F131" s="24">
        <v>5.46</v>
      </c>
      <c r="G131" s="24">
        <v>0</v>
      </c>
      <c r="H131" s="24">
        <v>0</v>
      </c>
      <c r="I131" s="24">
        <f>27.4-22.4</f>
        <v>5</v>
      </c>
      <c r="J131" s="24">
        <f t="shared" si="9"/>
        <v>27.4</v>
      </c>
      <c r="K131" s="24" t="s">
        <v>475</v>
      </c>
      <c r="L131" s="25">
        <f t="shared" ref="L131:L136" si="14">+J131</f>
        <v>27.4</v>
      </c>
    </row>
    <row r="132" spans="1:12">
      <c r="A132" s="27">
        <v>36</v>
      </c>
      <c r="B132" s="45">
        <v>200940512</v>
      </c>
      <c r="C132" s="56" t="s">
        <v>138</v>
      </c>
      <c r="D132" s="24">
        <v>2.94</v>
      </c>
      <c r="E132" s="24">
        <v>5.6</v>
      </c>
      <c r="F132" s="24">
        <v>3.08</v>
      </c>
      <c r="G132" s="24">
        <v>2.8</v>
      </c>
      <c r="H132" s="24">
        <v>0</v>
      </c>
      <c r="I132" s="24">
        <f>17.93-14.42</f>
        <v>3.51</v>
      </c>
      <c r="J132" s="24">
        <f t="shared" si="9"/>
        <v>17.93</v>
      </c>
      <c r="K132" s="24" t="s">
        <v>475</v>
      </c>
      <c r="L132" s="25">
        <f t="shared" si="14"/>
        <v>17.93</v>
      </c>
    </row>
    <row r="133" spans="1:12">
      <c r="A133" s="27">
        <v>37</v>
      </c>
      <c r="B133" s="45">
        <v>200940522</v>
      </c>
      <c r="C133" s="56" t="s">
        <v>139</v>
      </c>
      <c r="D133" s="24">
        <v>2.2400000000000002</v>
      </c>
      <c r="E133" s="24">
        <v>2.38</v>
      </c>
      <c r="F133" s="24">
        <v>6.02</v>
      </c>
      <c r="G133" s="24">
        <v>2.52</v>
      </c>
      <c r="H133" s="24">
        <v>0.7</v>
      </c>
      <c r="I133" s="24">
        <f>18.37-13.86</f>
        <v>4.5100000000000016</v>
      </c>
      <c r="J133" s="24">
        <f t="shared" si="9"/>
        <v>18.370000000000005</v>
      </c>
      <c r="K133" s="24" t="s">
        <v>475</v>
      </c>
      <c r="L133" s="25">
        <f t="shared" si="14"/>
        <v>18.370000000000005</v>
      </c>
    </row>
    <row r="134" spans="1:12">
      <c r="A134" s="27">
        <v>38</v>
      </c>
      <c r="B134" s="45">
        <v>200940526</v>
      </c>
      <c r="C134" s="56" t="s">
        <v>140</v>
      </c>
      <c r="D134" s="24">
        <v>2.2400000000000002</v>
      </c>
      <c r="E134" s="24">
        <v>4.34</v>
      </c>
      <c r="F134" s="24">
        <v>4.2</v>
      </c>
      <c r="G134" s="24">
        <v>2.8</v>
      </c>
      <c r="H134" s="24">
        <v>0</v>
      </c>
      <c r="I134" s="24">
        <f>19.82-13.58</f>
        <v>6.24</v>
      </c>
      <c r="J134" s="24">
        <f t="shared" si="9"/>
        <v>19.82</v>
      </c>
      <c r="K134" s="24" t="s">
        <v>475</v>
      </c>
      <c r="L134" s="25">
        <f t="shared" si="14"/>
        <v>19.82</v>
      </c>
    </row>
    <row r="135" spans="1:12">
      <c r="A135" s="27">
        <v>39</v>
      </c>
      <c r="B135" s="57">
        <v>200940527</v>
      </c>
      <c r="C135" s="60" t="s">
        <v>141</v>
      </c>
      <c r="D135" s="24">
        <v>2.94</v>
      </c>
      <c r="E135" s="24">
        <v>5.04</v>
      </c>
      <c r="F135" s="24">
        <v>5.32</v>
      </c>
      <c r="G135" s="24">
        <v>3.64</v>
      </c>
      <c r="H135" s="24">
        <v>0</v>
      </c>
      <c r="I135" s="24">
        <f>25.04-16.94</f>
        <v>8.0999999999999979</v>
      </c>
      <c r="J135" s="24">
        <f t="shared" si="9"/>
        <v>25.04</v>
      </c>
      <c r="K135" s="24" t="s">
        <v>475</v>
      </c>
      <c r="L135" s="25">
        <f t="shared" si="14"/>
        <v>25.04</v>
      </c>
    </row>
    <row r="136" spans="1:12">
      <c r="A136" s="27">
        <v>40</v>
      </c>
      <c r="B136" s="45">
        <v>200940534</v>
      </c>
      <c r="C136" s="56" t="s">
        <v>142</v>
      </c>
      <c r="D136" s="24">
        <v>3.64</v>
      </c>
      <c r="E136" s="24">
        <v>3.5</v>
      </c>
      <c r="F136" s="24">
        <v>4.4800000000000004</v>
      </c>
      <c r="G136" s="24">
        <v>4.2</v>
      </c>
      <c r="H136" s="24">
        <v>0</v>
      </c>
      <c r="I136" s="24">
        <f>23.9-15.82</f>
        <v>8.0799999999999983</v>
      </c>
      <c r="J136" s="24">
        <f t="shared" si="9"/>
        <v>23.9</v>
      </c>
      <c r="K136" s="24" t="s">
        <v>475</v>
      </c>
      <c r="L136" s="25">
        <f t="shared" si="14"/>
        <v>23.9</v>
      </c>
    </row>
    <row r="137" spans="1:12">
      <c r="A137" s="27">
        <v>41</v>
      </c>
      <c r="B137" s="45">
        <v>200940535</v>
      </c>
      <c r="C137" s="56" t="s">
        <v>143</v>
      </c>
      <c r="D137" s="24">
        <v>6.3</v>
      </c>
      <c r="E137" s="24">
        <v>5.6</v>
      </c>
      <c r="F137" s="24">
        <v>9.52</v>
      </c>
      <c r="G137" s="24">
        <v>6.72</v>
      </c>
      <c r="H137" s="24">
        <v>7.7</v>
      </c>
      <c r="I137" s="24">
        <f>44.62-35.84</f>
        <v>8.779999999999994</v>
      </c>
      <c r="J137" s="24">
        <f t="shared" si="9"/>
        <v>44.61999999999999</v>
      </c>
      <c r="K137" s="24">
        <v>7.4</v>
      </c>
      <c r="L137" s="25">
        <f t="shared" si="11"/>
        <v>52.019999999999989</v>
      </c>
    </row>
    <row r="138" spans="1:12">
      <c r="A138" s="27">
        <v>42</v>
      </c>
      <c r="B138" s="45">
        <v>200940813</v>
      </c>
      <c r="C138" s="56" t="s">
        <v>144</v>
      </c>
      <c r="D138" s="24">
        <v>4.2</v>
      </c>
      <c r="E138" s="24">
        <v>4.9000000000000004</v>
      </c>
      <c r="F138" s="24">
        <v>5.04</v>
      </c>
      <c r="G138" s="24">
        <v>4.76</v>
      </c>
      <c r="H138" s="24">
        <v>3.78</v>
      </c>
      <c r="I138" s="24">
        <f>31.05-22.68</f>
        <v>8.370000000000001</v>
      </c>
      <c r="J138" s="24">
        <f t="shared" si="9"/>
        <v>31.05</v>
      </c>
      <c r="K138" s="24" t="s">
        <v>475</v>
      </c>
      <c r="L138" s="25">
        <f>+J138</f>
        <v>31.05</v>
      </c>
    </row>
    <row r="139" spans="1:12">
      <c r="A139" s="27">
        <v>43</v>
      </c>
      <c r="B139" s="57">
        <v>200940882</v>
      </c>
      <c r="C139" s="58" t="s">
        <v>145</v>
      </c>
      <c r="D139" s="24">
        <v>2.94</v>
      </c>
      <c r="E139" s="24">
        <v>5.46</v>
      </c>
      <c r="F139" s="24">
        <v>7.7</v>
      </c>
      <c r="G139" s="24">
        <v>2.8</v>
      </c>
      <c r="H139" s="24">
        <v>3.92</v>
      </c>
      <c r="I139" s="24">
        <f>31.44-22.82</f>
        <v>8.620000000000001</v>
      </c>
      <c r="J139" s="24">
        <f t="shared" si="9"/>
        <v>31.44</v>
      </c>
      <c r="K139" s="24" t="s">
        <v>475</v>
      </c>
      <c r="L139" s="25">
        <f>+J139</f>
        <v>31.44</v>
      </c>
    </row>
    <row r="140" spans="1:12">
      <c r="A140" s="27">
        <v>44</v>
      </c>
      <c r="B140" s="45">
        <v>200941031</v>
      </c>
      <c r="C140" s="56" t="s">
        <v>146</v>
      </c>
      <c r="D140" s="24">
        <v>5.74</v>
      </c>
      <c r="E140" s="24">
        <v>9.66</v>
      </c>
      <c r="F140" s="24">
        <v>8.5399999999999991</v>
      </c>
      <c r="G140" s="24">
        <v>5.04</v>
      </c>
      <c r="H140" s="24">
        <v>7.84</v>
      </c>
      <c r="I140" s="24">
        <f>45.52-36.82</f>
        <v>8.7000000000000028</v>
      </c>
      <c r="J140" s="24">
        <f t="shared" si="9"/>
        <v>45.52</v>
      </c>
      <c r="K140" s="24">
        <v>4.2</v>
      </c>
      <c r="L140" s="25">
        <f t="shared" si="11"/>
        <v>49.720000000000006</v>
      </c>
    </row>
    <row r="141" spans="1:12">
      <c r="A141" s="27">
        <v>45</v>
      </c>
      <c r="B141" s="45">
        <v>200941043</v>
      </c>
      <c r="C141" s="59" t="s">
        <v>147</v>
      </c>
      <c r="D141" s="24">
        <v>2.94</v>
      </c>
      <c r="E141" s="24">
        <v>4.9000000000000004</v>
      </c>
      <c r="F141" s="24">
        <v>4.34</v>
      </c>
      <c r="G141" s="24">
        <v>4.2</v>
      </c>
      <c r="H141" s="24">
        <v>2.1</v>
      </c>
      <c r="I141" s="24">
        <f>23.1-18.48</f>
        <v>4.620000000000001</v>
      </c>
      <c r="J141" s="24">
        <f t="shared" si="9"/>
        <v>23.100000000000005</v>
      </c>
      <c r="K141" s="24" t="s">
        <v>475</v>
      </c>
      <c r="L141" s="25">
        <f>+J141</f>
        <v>23.100000000000005</v>
      </c>
    </row>
    <row r="142" spans="1:12">
      <c r="A142" s="27">
        <v>46</v>
      </c>
      <c r="B142" s="45">
        <v>200941044</v>
      </c>
      <c r="C142" s="56" t="s">
        <v>148</v>
      </c>
      <c r="D142" s="24">
        <v>6.58</v>
      </c>
      <c r="E142" s="24">
        <v>4.62</v>
      </c>
      <c r="F142" s="24">
        <v>5.88</v>
      </c>
      <c r="G142" s="24">
        <v>0</v>
      </c>
      <c r="H142" s="24">
        <v>0</v>
      </c>
      <c r="I142" s="24">
        <f>20.89-17.08</f>
        <v>3.8100000000000023</v>
      </c>
      <c r="J142" s="24">
        <f t="shared" si="9"/>
        <v>20.89</v>
      </c>
      <c r="K142" s="24" t="s">
        <v>475</v>
      </c>
      <c r="L142" s="25">
        <f>+J142</f>
        <v>20.89</v>
      </c>
    </row>
    <row r="143" spans="1:12">
      <c r="A143" s="27">
        <v>47</v>
      </c>
      <c r="B143" s="57">
        <v>200941046</v>
      </c>
      <c r="C143" s="60" t="s">
        <v>149</v>
      </c>
      <c r="D143" s="24">
        <v>9.66</v>
      </c>
      <c r="E143" s="24">
        <v>7.84</v>
      </c>
      <c r="F143" s="24">
        <v>9.94</v>
      </c>
      <c r="G143" s="24">
        <v>5.32</v>
      </c>
      <c r="H143" s="24">
        <v>5.74</v>
      </c>
      <c r="I143" s="24">
        <f>46.99-38.5</f>
        <v>8.490000000000002</v>
      </c>
      <c r="J143" s="24">
        <f t="shared" si="9"/>
        <v>46.989999999999995</v>
      </c>
      <c r="K143" s="24">
        <v>3.4</v>
      </c>
      <c r="L143" s="25">
        <f t="shared" si="11"/>
        <v>50.389999999999993</v>
      </c>
    </row>
    <row r="144" spans="1:12">
      <c r="A144" s="27">
        <v>48</v>
      </c>
      <c r="B144" s="57">
        <v>200941422</v>
      </c>
      <c r="C144" s="60" t="s">
        <v>150</v>
      </c>
      <c r="D144" s="24">
        <v>2.94</v>
      </c>
      <c r="E144" s="24">
        <v>2.8</v>
      </c>
      <c r="F144" s="24">
        <v>3.36</v>
      </c>
      <c r="G144" s="24">
        <v>0</v>
      </c>
      <c r="H144" s="24">
        <v>0</v>
      </c>
      <c r="I144" s="24">
        <f>11.76-9.1</f>
        <v>2.66</v>
      </c>
      <c r="J144" s="24">
        <f t="shared" si="9"/>
        <v>11.76</v>
      </c>
      <c r="K144" s="24" t="s">
        <v>475</v>
      </c>
      <c r="L144" s="25">
        <f>+J144</f>
        <v>11.76</v>
      </c>
    </row>
    <row r="145" spans="1:12">
      <c r="A145" s="27">
        <v>49</v>
      </c>
      <c r="B145" s="57">
        <v>200941434</v>
      </c>
      <c r="C145" s="56" t="s">
        <v>151</v>
      </c>
      <c r="D145" s="24">
        <v>3.22</v>
      </c>
      <c r="E145" s="24">
        <v>0</v>
      </c>
      <c r="F145" s="24">
        <v>0</v>
      </c>
      <c r="G145" s="24">
        <v>0</v>
      </c>
      <c r="H145" s="24">
        <v>0</v>
      </c>
      <c r="I145" s="24">
        <f>4.78-3.22</f>
        <v>1.56</v>
      </c>
      <c r="J145" s="24">
        <f t="shared" si="9"/>
        <v>4.78</v>
      </c>
      <c r="K145" s="24" t="s">
        <v>475</v>
      </c>
      <c r="L145" s="25">
        <f t="shared" ref="L145:L151" si="15">+J145</f>
        <v>4.78</v>
      </c>
    </row>
    <row r="146" spans="1:12">
      <c r="A146" s="27">
        <v>50</v>
      </c>
      <c r="B146" s="45">
        <v>200941685</v>
      </c>
      <c r="C146" s="56" t="s">
        <v>152</v>
      </c>
      <c r="D146" s="24">
        <v>2.94</v>
      </c>
      <c r="E146" s="24">
        <v>5.6</v>
      </c>
      <c r="F146" s="24">
        <v>6.16</v>
      </c>
      <c r="G146" s="24">
        <v>3.64</v>
      </c>
      <c r="H146" s="24">
        <v>0</v>
      </c>
      <c r="I146" s="24">
        <f>26.67-18.34</f>
        <v>8.3300000000000018</v>
      </c>
      <c r="J146" s="24">
        <f t="shared" si="9"/>
        <v>26.670000000000005</v>
      </c>
      <c r="K146" s="24" t="s">
        <v>475</v>
      </c>
      <c r="L146" s="25">
        <f t="shared" si="15"/>
        <v>26.670000000000005</v>
      </c>
    </row>
    <row r="147" spans="1:12">
      <c r="A147" s="27">
        <v>51</v>
      </c>
      <c r="B147" s="45">
        <v>200941860</v>
      </c>
      <c r="C147" s="59" t="s">
        <v>153</v>
      </c>
      <c r="D147" s="24">
        <v>2.94</v>
      </c>
      <c r="E147" s="24">
        <v>0</v>
      </c>
      <c r="F147" s="24">
        <v>0</v>
      </c>
      <c r="G147" s="24">
        <v>0</v>
      </c>
      <c r="H147" s="24">
        <v>0</v>
      </c>
      <c r="I147" s="24">
        <f>4.49-2.94</f>
        <v>1.5500000000000003</v>
      </c>
      <c r="J147" s="24">
        <f t="shared" si="9"/>
        <v>4.49</v>
      </c>
      <c r="K147" s="24" t="s">
        <v>475</v>
      </c>
      <c r="L147" s="25">
        <f t="shared" si="15"/>
        <v>4.49</v>
      </c>
    </row>
    <row r="148" spans="1:12">
      <c r="A148" s="27">
        <v>52</v>
      </c>
      <c r="B148" s="45">
        <v>200941896</v>
      </c>
      <c r="C148" s="56" t="s">
        <v>443</v>
      </c>
      <c r="D148" s="24">
        <v>8.5399999999999991</v>
      </c>
      <c r="E148" s="24">
        <v>0</v>
      </c>
      <c r="F148" s="24">
        <v>0</v>
      </c>
      <c r="G148" s="24">
        <v>0</v>
      </c>
      <c r="H148" s="24">
        <v>0</v>
      </c>
      <c r="I148" s="24">
        <f>11.19-8.54</f>
        <v>2.6500000000000004</v>
      </c>
      <c r="J148" s="24">
        <f t="shared" si="9"/>
        <v>11.19</v>
      </c>
      <c r="K148" s="24" t="s">
        <v>475</v>
      </c>
      <c r="L148" s="25">
        <f t="shared" si="15"/>
        <v>11.19</v>
      </c>
    </row>
    <row r="149" spans="1:12">
      <c r="A149" s="27">
        <v>53</v>
      </c>
      <c r="B149" s="45">
        <v>200942657</v>
      </c>
      <c r="C149" s="56" t="s">
        <v>154</v>
      </c>
      <c r="D149" s="24">
        <v>2.94</v>
      </c>
      <c r="E149" s="24">
        <v>4.76</v>
      </c>
      <c r="F149" s="24">
        <v>2.52</v>
      </c>
      <c r="G149" s="24">
        <v>0</v>
      </c>
      <c r="H149" s="24">
        <v>0</v>
      </c>
      <c r="I149" s="24">
        <f>12.9-10.22</f>
        <v>2.6799999999999997</v>
      </c>
      <c r="J149" s="24">
        <f t="shared" si="9"/>
        <v>12.899999999999999</v>
      </c>
      <c r="K149" s="24" t="s">
        <v>475</v>
      </c>
      <c r="L149" s="25">
        <f t="shared" si="15"/>
        <v>12.899999999999999</v>
      </c>
    </row>
    <row r="150" spans="1:12">
      <c r="A150" s="27">
        <v>54</v>
      </c>
      <c r="B150" s="45">
        <v>200942659</v>
      </c>
      <c r="C150" s="56" t="s">
        <v>155</v>
      </c>
      <c r="D150" s="24">
        <v>1.96</v>
      </c>
      <c r="E150" s="24">
        <v>6.44</v>
      </c>
      <c r="F150" s="24">
        <v>5.6</v>
      </c>
      <c r="G150" s="24">
        <v>2.8</v>
      </c>
      <c r="H150" s="24">
        <v>0</v>
      </c>
      <c r="I150" s="24">
        <f>23.1-16.8</f>
        <v>6.3000000000000007</v>
      </c>
      <c r="J150" s="24">
        <f t="shared" si="9"/>
        <v>23.1</v>
      </c>
      <c r="K150" s="24" t="s">
        <v>475</v>
      </c>
      <c r="L150" s="25">
        <f t="shared" si="15"/>
        <v>23.1</v>
      </c>
    </row>
    <row r="151" spans="1:12">
      <c r="A151" s="27">
        <v>55</v>
      </c>
      <c r="B151" s="45">
        <v>200942662</v>
      </c>
      <c r="C151" s="56" t="s">
        <v>156</v>
      </c>
      <c r="D151" s="24">
        <v>4.2</v>
      </c>
      <c r="E151" s="24">
        <v>4.76</v>
      </c>
      <c r="F151" s="24">
        <v>3.92</v>
      </c>
      <c r="G151" s="24">
        <v>3.36</v>
      </c>
      <c r="H151" s="24">
        <v>2.38</v>
      </c>
      <c r="I151" s="24">
        <f>22.25-18.62</f>
        <v>3.629999999999999</v>
      </c>
      <c r="J151" s="24">
        <f t="shared" si="9"/>
        <v>22.249999999999996</v>
      </c>
      <c r="K151" s="24" t="s">
        <v>475</v>
      </c>
      <c r="L151" s="25">
        <f t="shared" si="15"/>
        <v>22.249999999999996</v>
      </c>
    </row>
    <row r="152" spans="1:12">
      <c r="A152" s="27">
        <v>56</v>
      </c>
      <c r="B152" s="45">
        <v>200942689</v>
      </c>
      <c r="C152" s="56" t="s">
        <v>157</v>
      </c>
      <c r="D152" s="24">
        <v>7</v>
      </c>
      <c r="E152" s="24">
        <v>5.88</v>
      </c>
      <c r="F152" s="24">
        <v>8.1199999999999992</v>
      </c>
      <c r="G152" s="24">
        <v>5.04</v>
      </c>
      <c r="H152" s="24">
        <v>7</v>
      </c>
      <c r="I152" s="24">
        <f>41.64-33.04</f>
        <v>8.6000000000000014</v>
      </c>
      <c r="J152" s="24">
        <f t="shared" si="9"/>
        <v>41.64</v>
      </c>
      <c r="K152" s="24" t="s">
        <v>476</v>
      </c>
      <c r="L152" s="25">
        <v>41.64</v>
      </c>
    </row>
    <row r="153" spans="1:12">
      <c r="A153" s="27">
        <v>57</v>
      </c>
      <c r="B153" s="45">
        <v>200942711</v>
      </c>
      <c r="C153" s="56" t="s">
        <v>158</v>
      </c>
      <c r="D153" s="24">
        <v>2.94</v>
      </c>
      <c r="E153" s="24">
        <v>3.5</v>
      </c>
      <c r="F153" s="24">
        <v>4.34</v>
      </c>
      <c r="G153" s="24">
        <v>2.2400000000000002</v>
      </c>
      <c r="H153" s="24">
        <v>0</v>
      </c>
      <c r="I153" s="24">
        <f>16.75-13.02</f>
        <v>3.7300000000000004</v>
      </c>
      <c r="J153" s="24">
        <f t="shared" si="9"/>
        <v>16.75</v>
      </c>
      <c r="K153" s="24" t="s">
        <v>475</v>
      </c>
      <c r="L153" s="25">
        <f>+J153</f>
        <v>16.75</v>
      </c>
    </row>
    <row r="154" spans="1:12">
      <c r="A154" s="27">
        <v>58</v>
      </c>
      <c r="B154" s="45">
        <v>200942840</v>
      </c>
      <c r="C154" s="56" t="s">
        <v>159</v>
      </c>
      <c r="D154" s="24">
        <v>5.32</v>
      </c>
      <c r="E154" s="24">
        <v>0</v>
      </c>
      <c r="F154" s="24">
        <v>0</v>
      </c>
      <c r="G154" s="24">
        <v>4.2</v>
      </c>
      <c r="H154" s="24">
        <v>6.58</v>
      </c>
      <c r="I154" s="24">
        <f>24.61-16.1</f>
        <v>8.509999999999998</v>
      </c>
      <c r="J154" s="24">
        <f t="shared" si="9"/>
        <v>24.61</v>
      </c>
      <c r="K154" s="24" t="s">
        <v>475</v>
      </c>
      <c r="L154" s="25">
        <f t="shared" ref="L154:L162" si="16">+J154</f>
        <v>24.61</v>
      </c>
    </row>
    <row r="155" spans="1:12">
      <c r="A155" s="27">
        <v>59</v>
      </c>
      <c r="B155" s="45">
        <v>200943360</v>
      </c>
      <c r="C155" s="56" t="s">
        <v>160</v>
      </c>
      <c r="D155" s="24">
        <v>1.54</v>
      </c>
      <c r="E155" s="24">
        <v>0</v>
      </c>
      <c r="F155" s="24">
        <v>0</v>
      </c>
      <c r="G155" s="24">
        <v>0</v>
      </c>
      <c r="H155" s="24">
        <v>0</v>
      </c>
      <c r="I155" s="24">
        <f>3.07-1.54</f>
        <v>1.5299999999999998</v>
      </c>
      <c r="J155" s="24">
        <f t="shared" si="9"/>
        <v>3.07</v>
      </c>
      <c r="K155" s="24" t="s">
        <v>475</v>
      </c>
      <c r="L155" s="25">
        <f t="shared" si="16"/>
        <v>3.07</v>
      </c>
    </row>
    <row r="156" spans="1:12">
      <c r="A156" s="27">
        <v>60</v>
      </c>
      <c r="B156" s="45">
        <v>200944091</v>
      </c>
      <c r="C156" s="59" t="s">
        <v>161</v>
      </c>
      <c r="D156" s="24">
        <v>3.5</v>
      </c>
      <c r="E156" s="24">
        <v>5.88</v>
      </c>
      <c r="F156" s="24">
        <v>6.02</v>
      </c>
      <c r="G156" s="24">
        <v>5.6</v>
      </c>
      <c r="H156" s="24">
        <v>0</v>
      </c>
      <c r="I156" s="24">
        <f>24.63-21</f>
        <v>3.629999999999999</v>
      </c>
      <c r="J156" s="24">
        <f t="shared" si="9"/>
        <v>24.63</v>
      </c>
      <c r="K156" s="24" t="s">
        <v>475</v>
      </c>
      <c r="L156" s="25">
        <f t="shared" si="16"/>
        <v>24.63</v>
      </c>
    </row>
    <row r="157" spans="1:12">
      <c r="A157" s="27">
        <v>61</v>
      </c>
      <c r="B157" s="45">
        <v>200944093</v>
      </c>
      <c r="C157" s="59" t="s">
        <v>162</v>
      </c>
      <c r="D157" s="24">
        <v>2.94</v>
      </c>
      <c r="E157" s="24">
        <v>5.88</v>
      </c>
      <c r="F157" s="24">
        <v>6.72</v>
      </c>
      <c r="G157" s="24">
        <v>5.6</v>
      </c>
      <c r="H157" s="24">
        <v>0</v>
      </c>
      <c r="I157" s="24">
        <f>24.77-21.14</f>
        <v>3.629999999999999</v>
      </c>
      <c r="J157" s="24">
        <f t="shared" si="9"/>
        <v>24.77</v>
      </c>
      <c r="K157" s="24" t="s">
        <v>475</v>
      </c>
      <c r="L157" s="25">
        <f t="shared" si="16"/>
        <v>24.77</v>
      </c>
    </row>
    <row r="158" spans="1:12">
      <c r="A158" s="27">
        <v>62</v>
      </c>
      <c r="B158" s="45">
        <v>200944809</v>
      </c>
      <c r="C158" s="56" t="s">
        <v>163</v>
      </c>
      <c r="D158" s="24">
        <v>1.54</v>
      </c>
      <c r="E158" s="24">
        <v>5.6</v>
      </c>
      <c r="F158" s="24">
        <v>6.3</v>
      </c>
      <c r="G158" s="24">
        <v>0</v>
      </c>
      <c r="H158" s="24">
        <v>0</v>
      </c>
      <c r="I158" s="24">
        <f>16.18-13.44</f>
        <v>2.74</v>
      </c>
      <c r="J158" s="24">
        <f t="shared" si="9"/>
        <v>16.18</v>
      </c>
      <c r="K158" s="24" t="s">
        <v>475</v>
      </c>
      <c r="L158" s="25">
        <f t="shared" si="16"/>
        <v>16.18</v>
      </c>
    </row>
    <row r="159" spans="1:12">
      <c r="A159" s="27">
        <v>63</v>
      </c>
      <c r="B159" s="45">
        <v>200944811</v>
      </c>
      <c r="C159" s="59" t="s">
        <v>164</v>
      </c>
      <c r="D159" s="24">
        <v>2.94</v>
      </c>
      <c r="E159" s="24">
        <v>3.78</v>
      </c>
      <c r="F159" s="24">
        <v>3.78</v>
      </c>
      <c r="G159" s="24">
        <v>2.52</v>
      </c>
      <c r="H159" s="24">
        <v>0</v>
      </c>
      <c r="I159" s="24">
        <f>17.5-13.02</f>
        <v>4.4800000000000004</v>
      </c>
      <c r="J159" s="24">
        <f t="shared" si="9"/>
        <v>17.5</v>
      </c>
      <c r="K159" s="24" t="s">
        <v>475</v>
      </c>
      <c r="L159" s="25">
        <f t="shared" si="16"/>
        <v>17.5</v>
      </c>
    </row>
    <row r="160" spans="1:12">
      <c r="A160" s="27">
        <v>64</v>
      </c>
      <c r="B160" s="45">
        <v>200945123</v>
      </c>
      <c r="C160" s="59" t="s">
        <v>165</v>
      </c>
      <c r="D160" s="24">
        <v>2.94</v>
      </c>
      <c r="E160" s="24">
        <v>3.92</v>
      </c>
      <c r="F160" s="24">
        <v>4.76</v>
      </c>
      <c r="G160" s="24">
        <v>4.2</v>
      </c>
      <c r="H160" s="24">
        <v>0</v>
      </c>
      <c r="I160" s="24">
        <f>20.35-15.85</f>
        <v>4.5000000000000018</v>
      </c>
      <c r="J160" s="24">
        <f t="shared" si="9"/>
        <v>20.320000000000004</v>
      </c>
      <c r="K160" s="24" t="s">
        <v>475</v>
      </c>
      <c r="L160" s="25">
        <f t="shared" si="16"/>
        <v>20.320000000000004</v>
      </c>
    </row>
    <row r="161" spans="1:12">
      <c r="A161" s="27">
        <v>65</v>
      </c>
      <c r="B161" s="45">
        <v>200945126</v>
      </c>
      <c r="C161" s="59" t="s">
        <v>166</v>
      </c>
      <c r="D161" s="24">
        <v>3.5</v>
      </c>
      <c r="E161" s="24">
        <v>3.92</v>
      </c>
      <c r="F161" s="24">
        <v>3.08</v>
      </c>
      <c r="G161" s="24">
        <v>0</v>
      </c>
      <c r="H161" s="24">
        <v>0</v>
      </c>
      <c r="I161" s="24">
        <f>14.19-10.5</f>
        <v>3.6899999999999995</v>
      </c>
      <c r="J161" s="24">
        <f t="shared" si="9"/>
        <v>14.19</v>
      </c>
      <c r="K161" s="24" t="s">
        <v>475</v>
      </c>
      <c r="L161" s="25">
        <f t="shared" si="16"/>
        <v>14.19</v>
      </c>
    </row>
    <row r="162" spans="1:12">
      <c r="A162" s="27">
        <v>66</v>
      </c>
      <c r="B162" s="57">
        <v>200980007</v>
      </c>
      <c r="C162" s="58" t="s">
        <v>167</v>
      </c>
      <c r="D162" s="24">
        <v>2.94</v>
      </c>
      <c r="E162" s="24">
        <v>3.36</v>
      </c>
      <c r="F162" s="24">
        <v>0</v>
      </c>
      <c r="G162" s="24">
        <v>0</v>
      </c>
      <c r="H162" s="24">
        <v>0</v>
      </c>
      <c r="I162" s="24">
        <v>0</v>
      </c>
      <c r="J162" s="24">
        <f t="shared" si="9"/>
        <v>6.3</v>
      </c>
      <c r="K162" s="24" t="s">
        <v>475</v>
      </c>
      <c r="L162" s="25">
        <f t="shared" si="16"/>
        <v>6.3</v>
      </c>
    </row>
    <row r="163" spans="1:12">
      <c r="A163" s="29"/>
      <c r="B163" s="29"/>
      <c r="C163" s="30"/>
      <c r="D163" s="31"/>
      <c r="E163" s="31"/>
      <c r="F163" s="31"/>
      <c r="G163" s="31"/>
      <c r="H163" s="31"/>
      <c r="I163" s="31"/>
      <c r="J163" s="31"/>
      <c r="K163" s="31"/>
      <c r="L163" s="32"/>
    </row>
    <row r="164" spans="1:12">
      <c r="A164" s="29"/>
      <c r="B164" s="29"/>
      <c r="C164" s="30"/>
      <c r="D164" s="31"/>
      <c r="E164" s="31"/>
      <c r="F164" s="31"/>
      <c r="G164" s="31"/>
      <c r="H164" s="31"/>
      <c r="I164" s="31"/>
      <c r="J164" s="31"/>
      <c r="K164" s="31"/>
      <c r="L164" s="32"/>
    </row>
    <row r="165" spans="1:12" ht="17.25" thickBot="1">
      <c r="A165" s="33"/>
      <c r="B165" s="33"/>
      <c r="C165" s="34"/>
      <c r="D165" s="31"/>
      <c r="E165" s="31"/>
      <c r="F165" s="31"/>
      <c r="G165" s="31"/>
      <c r="H165" s="35"/>
      <c r="I165" s="35"/>
      <c r="J165" s="35"/>
      <c r="K165" s="9"/>
      <c r="L165" s="32"/>
    </row>
    <row r="166" spans="1:12">
      <c r="H166" s="100" t="s">
        <v>439</v>
      </c>
      <c r="I166" s="100"/>
      <c r="J166" s="100"/>
      <c r="L166" s="1"/>
    </row>
    <row r="167" spans="1:12">
      <c r="D167" s="36"/>
      <c r="H167" s="100" t="s">
        <v>430</v>
      </c>
      <c r="I167" s="100"/>
      <c r="J167" s="100"/>
      <c r="L167" s="1"/>
    </row>
    <row r="168" spans="1:12">
      <c r="D168" s="36"/>
      <c r="H168" s="100" t="s">
        <v>440</v>
      </c>
      <c r="I168" s="100"/>
      <c r="J168" s="100"/>
      <c r="L168" s="1"/>
    </row>
    <row r="169" spans="1:12" ht="17.25" thickBot="1">
      <c r="A169" s="1" t="s">
        <v>0</v>
      </c>
      <c r="I169" s="3"/>
    </row>
    <row r="170" spans="1:12">
      <c r="A170" s="1" t="s">
        <v>1</v>
      </c>
      <c r="F170" s="4"/>
      <c r="G170" s="5"/>
      <c r="H170" s="6"/>
      <c r="I170" s="7"/>
    </row>
    <row r="171" spans="1:12">
      <c r="A171" s="8" t="s">
        <v>2</v>
      </c>
      <c r="B171" s="9"/>
      <c r="E171" s="7"/>
      <c r="F171" s="10"/>
      <c r="G171" s="11"/>
      <c r="H171" s="12"/>
      <c r="I171" s="7"/>
    </row>
    <row r="172" spans="1:12" ht="17.25" thickBot="1">
      <c r="A172" s="13" t="s">
        <v>3</v>
      </c>
      <c r="B172" s="9"/>
      <c r="E172" s="7"/>
      <c r="F172" s="10"/>
      <c r="G172" s="11"/>
      <c r="H172" s="12"/>
      <c r="I172" s="7"/>
    </row>
    <row r="173" spans="1:12" ht="17.25" thickBot="1">
      <c r="A173" s="14" t="s">
        <v>22</v>
      </c>
      <c r="B173" s="15"/>
      <c r="C173" s="16"/>
      <c r="E173" s="7"/>
      <c r="F173" s="17"/>
      <c r="G173" s="18"/>
      <c r="H173" s="19"/>
      <c r="I173" s="7"/>
    </row>
    <row r="174" spans="1:12">
      <c r="A174" s="8"/>
      <c r="B174" s="9"/>
      <c r="E174" s="7"/>
      <c r="I174" s="3"/>
    </row>
    <row r="175" spans="1:12">
      <c r="A175" s="1" t="s">
        <v>91</v>
      </c>
      <c r="B175" s="9"/>
      <c r="C175" s="20" t="s">
        <v>168</v>
      </c>
      <c r="E175" s="7"/>
      <c r="I175" s="3"/>
    </row>
    <row r="176" spans="1:12">
      <c r="A176" s="1" t="s">
        <v>4</v>
      </c>
      <c r="C176" s="20" t="s">
        <v>437</v>
      </c>
      <c r="I176" s="3"/>
    </row>
    <row r="177" spans="1:12">
      <c r="A177" s="1" t="s">
        <v>5</v>
      </c>
      <c r="C177" s="20" t="s">
        <v>438</v>
      </c>
    </row>
    <row r="178" spans="1:12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pans="1:12">
      <c r="A179" s="1"/>
      <c r="C179" s="22" t="s">
        <v>6</v>
      </c>
      <c r="D179" s="22" t="s">
        <v>441</v>
      </c>
      <c r="E179" s="22" t="s">
        <v>441</v>
      </c>
      <c r="F179" s="22" t="s">
        <v>441</v>
      </c>
      <c r="G179" s="22" t="s">
        <v>441</v>
      </c>
      <c r="H179" s="22" t="s">
        <v>441</v>
      </c>
      <c r="I179" s="22" t="s">
        <v>442</v>
      </c>
      <c r="J179" s="22" t="s">
        <v>8</v>
      </c>
      <c r="K179" s="22" t="s">
        <v>7</v>
      </c>
      <c r="L179" s="22" t="s">
        <v>9</v>
      </c>
    </row>
    <row r="180" spans="1:12">
      <c r="A180" s="22" t="s">
        <v>10</v>
      </c>
      <c r="B180" s="22" t="s">
        <v>11</v>
      </c>
      <c r="C180" s="22" t="s">
        <v>12</v>
      </c>
      <c r="D180" s="22" t="s">
        <v>13</v>
      </c>
      <c r="E180" s="22" t="s">
        <v>14</v>
      </c>
      <c r="F180" s="22" t="s">
        <v>15</v>
      </c>
      <c r="G180" s="22" t="s">
        <v>16</v>
      </c>
      <c r="H180" s="22" t="s">
        <v>17</v>
      </c>
      <c r="I180" s="22" t="s">
        <v>95</v>
      </c>
      <c r="J180" s="22" t="s">
        <v>18</v>
      </c>
      <c r="K180" s="22" t="s">
        <v>19</v>
      </c>
      <c r="L180" s="22" t="s">
        <v>20</v>
      </c>
    </row>
    <row r="181" spans="1:12">
      <c r="A181" s="23">
        <v>1</v>
      </c>
      <c r="B181" s="45">
        <v>200742804</v>
      </c>
      <c r="C181" s="56" t="s">
        <v>170</v>
      </c>
      <c r="D181" s="24">
        <v>2.94</v>
      </c>
      <c r="E181" s="24">
        <v>2.2400000000000002</v>
      </c>
      <c r="F181" s="24">
        <v>3.64</v>
      </c>
      <c r="G181" s="24">
        <v>3.92</v>
      </c>
      <c r="H181" s="24">
        <v>0</v>
      </c>
      <c r="I181" s="24">
        <f>14.97-12.74</f>
        <v>2.2300000000000004</v>
      </c>
      <c r="J181" s="24">
        <f>+I181+H181+G181+F181+E181+D181</f>
        <v>14.97</v>
      </c>
      <c r="K181" s="24" t="s">
        <v>475</v>
      </c>
      <c r="L181" s="25">
        <f>+J181</f>
        <v>14.97</v>
      </c>
    </row>
    <row r="182" spans="1:12">
      <c r="A182" s="26">
        <v>2</v>
      </c>
      <c r="B182" s="45">
        <v>200780031</v>
      </c>
      <c r="C182" s="59" t="s">
        <v>171</v>
      </c>
      <c r="D182" s="24">
        <v>2.94</v>
      </c>
      <c r="E182" s="24">
        <v>0</v>
      </c>
      <c r="F182" s="24">
        <v>5.32</v>
      </c>
      <c r="G182" s="24">
        <v>6.72</v>
      </c>
      <c r="H182" s="24">
        <v>8.26</v>
      </c>
      <c r="I182" s="24">
        <f>37.06-23.24</f>
        <v>13.820000000000004</v>
      </c>
      <c r="J182" s="24">
        <f t="shared" ref="J182:J238" si="17">+I182+H182+G182+F182+E182+D182</f>
        <v>37.06</v>
      </c>
      <c r="K182" s="24" t="s">
        <v>475</v>
      </c>
      <c r="L182" s="25">
        <f t="shared" ref="L182:L183" si="18">+J182</f>
        <v>37.06</v>
      </c>
    </row>
    <row r="183" spans="1:12">
      <c r="A183" s="27">
        <v>3</v>
      </c>
      <c r="B183" s="57">
        <v>200840189</v>
      </c>
      <c r="C183" s="60" t="s">
        <v>173</v>
      </c>
      <c r="D183" s="24">
        <v>2.94</v>
      </c>
      <c r="E183" s="24">
        <v>4.2</v>
      </c>
      <c r="F183" s="24">
        <v>4.62</v>
      </c>
      <c r="G183" s="24">
        <v>1.96</v>
      </c>
      <c r="H183" s="24">
        <v>3.64</v>
      </c>
      <c r="I183" s="24">
        <f>21.62-17.36</f>
        <v>4.2600000000000016</v>
      </c>
      <c r="J183" s="24">
        <f t="shared" si="17"/>
        <v>21.620000000000005</v>
      </c>
      <c r="K183" s="24" t="s">
        <v>475</v>
      </c>
      <c r="L183" s="25">
        <f t="shared" si="18"/>
        <v>21.620000000000005</v>
      </c>
    </row>
    <row r="184" spans="1:12">
      <c r="A184" s="26">
        <v>4</v>
      </c>
      <c r="B184" s="45">
        <v>200840192</v>
      </c>
      <c r="C184" s="56" t="s">
        <v>174</v>
      </c>
      <c r="D184" s="24">
        <v>4.76</v>
      </c>
      <c r="E184" s="24">
        <v>7</v>
      </c>
      <c r="F184" s="24">
        <v>7</v>
      </c>
      <c r="G184" s="24">
        <v>9.8000000000000007</v>
      </c>
      <c r="H184" s="24">
        <v>7.56</v>
      </c>
      <c r="I184" s="24">
        <f>44.57-36.12</f>
        <v>8.4500000000000028</v>
      </c>
      <c r="J184" s="24">
        <f t="shared" si="17"/>
        <v>44.57</v>
      </c>
      <c r="K184" s="24" t="s">
        <v>476</v>
      </c>
      <c r="L184" s="25">
        <v>44.57</v>
      </c>
    </row>
    <row r="185" spans="1:12">
      <c r="A185" s="26">
        <v>5</v>
      </c>
      <c r="B185" s="57">
        <v>200840193</v>
      </c>
      <c r="C185" s="56" t="s">
        <v>175</v>
      </c>
      <c r="D185" s="24">
        <v>5.32</v>
      </c>
      <c r="E185" s="24">
        <v>6.02</v>
      </c>
      <c r="F185" s="24">
        <v>7.42</v>
      </c>
      <c r="G185" s="24">
        <v>9.94</v>
      </c>
      <c r="H185" s="24">
        <v>8.68</v>
      </c>
      <c r="I185" s="24">
        <f>45.74-37.38</f>
        <v>8.36</v>
      </c>
      <c r="J185" s="24">
        <f t="shared" si="17"/>
        <v>45.74</v>
      </c>
      <c r="K185" s="24">
        <v>7.2</v>
      </c>
      <c r="L185" s="25">
        <f t="shared" ref="L185:L215" si="19">+K185+J185</f>
        <v>52.940000000000005</v>
      </c>
    </row>
    <row r="186" spans="1:12">
      <c r="A186" s="26">
        <v>6</v>
      </c>
      <c r="B186" s="57">
        <v>200840209</v>
      </c>
      <c r="C186" s="60" t="s">
        <v>177</v>
      </c>
      <c r="D186" s="24">
        <v>7.56</v>
      </c>
      <c r="E186" s="24">
        <v>7.7</v>
      </c>
      <c r="F186" s="24">
        <v>11.62</v>
      </c>
      <c r="G186" s="24">
        <v>10.92</v>
      </c>
      <c r="H186" s="24">
        <v>9.8000000000000007</v>
      </c>
      <c r="I186" s="24">
        <f>55.92-47.6</f>
        <v>8.32</v>
      </c>
      <c r="J186" s="24">
        <f t="shared" si="17"/>
        <v>55.92</v>
      </c>
      <c r="K186" s="24">
        <v>17</v>
      </c>
      <c r="L186" s="25">
        <f t="shared" si="19"/>
        <v>72.92</v>
      </c>
    </row>
    <row r="187" spans="1:12">
      <c r="A187" s="26">
        <v>7</v>
      </c>
      <c r="B187" s="45">
        <v>200842064</v>
      </c>
      <c r="C187" s="56" t="s">
        <v>179</v>
      </c>
      <c r="D187" s="24">
        <v>5.04</v>
      </c>
      <c r="E187" s="24">
        <v>0</v>
      </c>
      <c r="F187" s="24">
        <v>4.0599999999999996</v>
      </c>
      <c r="G187" s="24">
        <v>0</v>
      </c>
      <c r="H187" s="24">
        <v>0</v>
      </c>
      <c r="I187" s="24">
        <f>10.76-9.1</f>
        <v>1.6600000000000001</v>
      </c>
      <c r="J187" s="24">
        <f t="shared" si="17"/>
        <v>10.76</v>
      </c>
      <c r="K187" s="24" t="s">
        <v>475</v>
      </c>
      <c r="L187" s="25">
        <f>+J187</f>
        <v>10.76</v>
      </c>
    </row>
    <row r="188" spans="1:12">
      <c r="A188" s="26">
        <v>8</v>
      </c>
      <c r="B188" s="45">
        <v>200842096</v>
      </c>
      <c r="C188" s="56" t="s">
        <v>180</v>
      </c>
      <c r="D188" s="24">
        <v>2.94</v>
      </c>
      <c r="E188" s="24">
        <v>4.0599999999999996</v>
      </c>
      <c r="F188" s="24">
        <v>5.88</v>
      </c>
      <c r="G188" s="24">
        <v>6.16</v>
      </c>
      <c r="H188" s="24">
        <v>4.2</v>
      </c>
      <c r="I188" s="24">
        <f>31.3-23.24</f>
        <v>8.0600000000000023</v>
      </c>
      <c r="J188" s="24">
        <f t="shared" si="17"/>
        <v>31.3</v>
      </c>
      <c r="K188" s="24" t="s">
        <v>475</v>
      </c>
      <c r="L188" s="25">
        <f>+J188</f>
        <v>31.3</v>
      </c>
    </row>
    <row r="189" spans="1:12">
      <c r="A189" s="26">
        <v>9</v>
      </c>
      <c r="B189" s="45">
        <v>200842099</v>
      </c>
      <c r="C189" s="56" t="s">
        <v>181</v>
      </c>
      <c r="D189" s="24">
        <v>8.5399999999999991</v>
      </c>
      <c r="E189" s="24">
        <v>5.6</v>
      </c>
      <c r="F189" s="24">
        <v>9.8000000000000007</v>
      </c>
      <c r="G189" s="24">
        <v>7.56</v>
      </c>
      <c r="H189" s="24">
        <v>10.92</v>
      </c>
      <c r="I189" s="24">
        <f>50.64-42.42</f>
        <v>8.2199999999999989</v>
      </c>
      <c r="J189" s="24">
        <f t="shared" si="17"/>
        <v>50.64</v>
      </c>
      <c r="K189" s="24">
        <v>8.4</v>
      </c>
      <c r="L189" s="25">
        <f t="shared" si="19"/>
        <v>59.04</v>
      </c>
    </row>
    <row r="190" spans="1:12">
      <c r="A190" s="26">
        <v>10</v>
      </c>
      <c r="B190" s="45">
        <v>200842121</v>
      </c>
      <c r="C190" s="59" t="s">
        <v>183</v>
      </c>
      <c r="D190" s="24">
        <v>9.66</v>
      </c>
      <c r="E190" s="24">
        <v>6.72</v>
      </c>
      <c r="F190" s="24">
        <v>5.88</v>
      </c>
      <c r="G190" s="24">
        <v>0</v>
      </c>
      <c r="H190" s="24">
        <v>0</v>
      </c>
      <c r="I190" s="24">
        <f>25.16-22.26</f>
        <v>2.8999999999999986</v>
      </c>
      <c r="J190" s="24">
        <f t="shared" si="17"/>
        <v>25.159999999999997</v>
      </c>
      <c r="K190" s="24" t="s">
        <v>475</v>
      </c>
      <c r="L190" s="25">
        <f>+J190</f>
        <v>25.159999999999997</v>
      </c>
    </row>
    <row r="191" spans="1:12">
      <c r="A191" s="26">
        <v>11</v>
      </c>
      <c r="B191" s="45">
        <v>200842378</v>
      </c>
      <c r="C191" s="56" t="s">
        <v>184</v>
      </c>
      <c r="D191" s="24">
        <v>2.94</v>
      </c>
      <c r="E191" s="24">
        <v>2.1</v>
      </c>
      <c r="F191" s="24">
        <v>4.9000000000000004</v>
      </c>
      <c r="G191" s="24">
        <v>3.92</v>
      </c>
      <c r="H191" s="28">
        <v>0</v>
      </c>
      <c r="I191" s="28">
        <f>18.36-13.86</f>
        <v>4.5</v>
      </c>
      <c r="J191" s="24">
        <f t="shared" si="17"/>
        <v>18.36</v>
      </c>
      <c r="K191" s="24" t="s">
        <v>475</v>
      </c>
      <c r="L191" s="25">
        <f>+J191</f>
        <v>18.36</v>
      </c>
    </row>
    <row r="192" spans="1:12">
      <c r="A192" s="26">
        <v>12</v>
      </c>
      <c r="B192" s="45">
        <v>200842411</v>
      </c>
      <c r="C192" s="56" t="s">
        <v>185</v>
      </c>
      <c r="D192" s="24">
        <v>6.3</v>
      </c>
      <c r="E192" s="24">
        <v>6.3</v>
      </c>
      <c r="F192" s="24">
        <v>8.1199999999999992</v>
      </c>
      <c r="G192" s="24">
        <v>5.6</v>
      </c>
      <c r="H192" s="28">
        <v>9.52</v>
      </c>
      <c r="I192" s="28">
        <f>42.55-34.44</f>
        <v>8.11</v>
      </c>
      <c r="J192" s="24">
        <f t="shared" si="17"/>
        <v>43.949999999999989</v>
      </c>
      <c r="K192" s="24">
        <v>8.4</v>
      </c>
      <c r="L192" s="25">
        <f t="shared" si="19"/>
        <v>52.349999999999987</v>
      </c>
    </row>
    <row r="193" spans="1:12">
      <c r="A193" s="26">
        <v>13</v>
      </c>
      <c r="B193" s="45">
        <v>200842450</v>
      </c>
      <c r="C193" s="56" t="s">
        <v>187</v>
      </c>
      <c r="D193" s="24">
        <v>6.3</v>
      </c>
      <c r="E193" s="24">
        <v>8.5399999999999991</v>
      </c>
      <c r="F193" s="24">
        <v>6.3</v>
      </c>
      <c r="G193" s="24">
        <v>5.6</v>
      </c>
      <c r="H193" s="28">
        <v>8.68</v>
      </c>
      <c r="I193" s="28">
        <f>43.34-35.42</f>
        <v>7.9200000000000017</v>
      </c>
      <c r="J193" s="24">
        <f t="shared" si="17"/>
        <v>43.34</v>
      </c>
      <c r="K193" s="24">
        <v>3.2</v>
      </c>
      <c r="L193" s="25">
        <f t="shared" si="19"/>
        <v>46.540000000000006</v>
      </c>
    </row>
    <row r="194" spans="1:12">
      <c r="A194" s="23">
        <v>14</v>
      </c>
      <c r="B194" s="57">
        <v>200843337</v>
      </c>
      <c r="C194" s="56" t="s">
        <v>188</v>
      </c>
      <c r="D194" s="24">
        <v>2.94</v>
      </c>
      <c r="E194" s="24">
        <v>4.9000000000000004</v>
      </c>
      <c r="F194" s="24">
        <v>0</v>
      </c>
      <c r="G194" s="24">
        <v>0</v>
      </c>
      <c r="H194" s="28">
        <v>0</v>
      </c>
      <c r="I194" s="28">
        <f>9.48-7.84</f>
        <v>1.6400000000000006</v>
      </c>
      <c r="J194" s="24">
        <f t="shared" si="17"/>
        <v>9.48</v>
      </c>
      <c r="K194" s="24" t="s">
        <v>475</v>
      </c>
      <c r="L194" s="25">
        <f>+J194</f>
        <v>9.48</v>
      </c>
    </row>
    <row r="195" spans="1:12">
      <c r="A195" s="23">
        <v>15</v>
      </c>
      <c r="B195" s="45">
        <v>200843789</v>
      </c>
      <c r="C195" s="56" t="s">
        <v>189</v>
      </c>
      <c r="D195" s="24">
        <v>6.44</v>
      </c>
      <c r="E195" s="24">
        <v>6.44</v>
      </c>
      <c r="F195" s="24">
        <v>9.94</v>
      </c>
      <c r="G195" s="24">
        <v>7.7</v>
      </c>
      <c r="H195" s="24">
        <v>7.42</v>
      </c>
      <c r="I195" s="24">
        <f>45.72-37.94</f>
        <v>7.7800000000000011</v>
      </c>
      <c r="J195" s="24">
        <f t="shared" si="17"/>
        <v>45.72</v>
      </c>
      <c r="K195" s="24">
        <v>13</v>
      </c>
      <c r="L195" s="25">
        <f t="shared" si="19"/>
        <v>58.72</v>
      </c>
    </row>
    <row r="196" spans="1:12">
      <c r="A196" s="23">
        <v>16</v>
      </c>
      <c r="B196" s="45">
        <v>200880002</v>
      </c>
      <c r="C196" s="56" t="s">
        <v>190</v>
      </c>
      <c r="D196" s="24">
        <v>6.16</v>
      </c>
      <c r="E196" s="24">
        <v>6.16</v>
      </c>
      <c r="F196" s="24">
        <v>6.44</v>
      </c>
      <c r="G196" s="24">
        <v>10.64</v>
      </c>
      <c r="H196" s="24">
        <v>8.82</v>
      </c>
      <c r="I196" s="24">
        <f>43.89-38.22</f>
        <v>5.6700000000000017</v>
      </c>
      <c r="J196" s="24">
        <f t="shared" si="17"/>
        <v>43.89</v>
      </c>
      <c r="K196" s="24">
        <v>5.2</v>
      </c>
      <c r="L196" s="25">
        <f t="shared" si="19"/>
        <v>49.09</v>
      </c>
    </row>
    <row r="197" spans="1:12">
      <c r="A197" s="23">
        <v>17</v>
      </c>
      <c r="B197" s="45">
        <v>200940337</v>
      </c>
      <c r="C197" s="56" t="s">
        <v>191</v>
      </c>
      <c r="D197" s="24">
        <v>3.22</v>
      </c>
      <c r="E197" s="24">
        <v>4.2</v>
      </c>
      <c r="F197" s="24">
        <v>5.6</v>
      </c>
      <c r="G197" s="24">
        <v>3.08</v>
      </c>
      <c r="H197" s="24">
        <v>0</v>
      </c>
      <c r="I197" s="24">
        <f>23.74-16.1</f>
        <v>7.639999999999997</v>
      </c>
      <c r="J197" s="24">
        <f t="shared" si="17"/>
        <v>23.739999999999995</v>
      </c>
      <c r="K197" s="24" t="s">
        <v>475</v>
      </c>
      <c r="L197" s="25">
        <f>+J197</f>
        <v>23.739999999999995</v>
      </c>
    </row>
    <row r="198" spans="1:12">
      <c r="A198" s="27">
        <v>18</v>
      </c>
      <c r="B198" s="57">
        <v>200940341</v>
      </c>
      <c r="C198" s="60" t="s">
        <v>192</v>
      </c>
      <c r="D198" s="24">
        <v>6.3</v>
      </c>
      <c r="E198" s="24">
        <v>7.28</v>
      </c>
      <c r="F198" s="24">
        <v>4.34</v>
      </c>
      <c r="G198" s="24">
        <v>4.2</v>
      </c>
      <c r="H198" s="24">
        <v>2.52</v>
      </c>
      <c r="I198" s="24">
        <f>32.75-24.64</f>
        <v>8.11</v>
      </c>
      <c r="J198" s="24">
        <f t="shared" si="17"/>
        <v>32.75</v>
      </c>
      <c r="K198" s="24" t="s">
        <v>475</v>
      </c>
      <c r="L198" s="25">
        <f t="shared" ref="L198:L206" si="20">+J198</f>
        <v>32.75</v>
      </c>
    </row>
    <row r="199" spans="1:12">
      <c r="A199" s="27">
        <v>19</v>
      </c>
      <c r="B199" s="45">
        <v>200940351</v>
      </c>
      <c r="C199" s="56" t="s">
        <v>193</v>
      </c>
      <c r="D199" s="24">
        <v>4.76</v>
      </c>
      <c r="E199" s="24">
        <v>5.46</v>
      </c>
      <c r="F199" s="24">
        <v>7.28</v>
      </c>
      <c r="G199" s="24">
        <v>3.64</v>
      </c>
      <c r="H199" s="24">
        <v>1.54</v>
      </c>
      <c r="I199" s="24">
        <f>29.17-22.68</f>
        <v>6.490000000000002</v>
      </c>
      <c r="J199" s="24">
        <f t="shared" si="17"/>
        <v>29.17</v>
      </c>
      <c r="K199" s="24" t="s">
        <v>475</v>
      </c>
      <c r="L199" s="25">
        <f t="shared" si="20"/>
        <v>29.17</v>
      </c>
    </row>
    <row r="200" spans="1:12">
      <c r="A200" s="27">
        <v>20</v>
      </c>
      <c r="B200" s="45">
        <v>200940362</v>
      </c>
      <c r="C200" s="58" t="s">
        <v>194</v>
      </c>
      <c r="D200" s="24">
        <v>2.2400000000000002</v>
      </c>
      <c r="E200" s="24">
        <v>2.8</v>
      </c>
      <c r="F200" s="24">
        <v>3.64</v>
      </c>
      <c r="G200" s="24">
        <v>3.64</v>
      </c>
      <c r="H200" s="24">
        <v>0</v>
      </c>
      <c r="I200" s="24">
        <f>19.69-12.32</f>
        <v>7.370000000000001</v>
      </c>
      <c r="J200" s="24">
        <f t="shared" si="17"/>
        <v>19.690000000000005</v>
      </c>
      <c r="K200" s="24" t="s">
        <v>475</v>
      </c>
      <c r="L200" s="25">
        <f t="shared" si="20"/>
        <v>19.690000000000005</v>
      </c>
    </row>
    <row r="201" spans="1:12">
      <c r="A201" s="27">
        <v>21</v>
      </c>
      <c r="B201" s="45">
        <v>200940369</v>
      </c>
      <c r="C201" s="56" t="s">
        <v>195</v>
      </c>
      <c r="D201" s="24">
        <v>7.56</v>
      </c>
      <c r="E201" s="24">
        <v>6.86</v>
      </c>
      <c r="F201" s="24">
        <v>0</v>
      </c>
      <c r="G201" s="24">
        <v>0</v>
      </c>
      <c r="H201" s="24">
        <v>0</v>
      </c>
      <c r="I201" s="24">
        <f>16.18-14.42</f>
        <v>1.7599999999999998</v>
      </c>
      <c r="J201" s="24">
        <f t="shared" si="17"/>
        <v>16.18</v>
      </c>
      <c r="K201" s="24" t="s">
        <v>475</v>
      </c>
      <c r="L201" s="25">
        <f t="shared" si="20"/>
        <v>16.18</v>
      </c>
    </row>
    <row r="202" spans="1:12">
      <c r="A202" s="27">
        <v>22</v>
      </c>
      <c r="B202" s="45">
        <v>200940429</v>
      </c>
      <c r="C202" s="56" t="s">
        <v>196</v>
      </c>
      <c r="D202" s="24">
        <v>3.5</v>
      </c>
      <c r="E202" s="24">
        <v>5.18</v>
      </c>
      <c r="F202" s="24">
        <v>4.4800000000000004</v>
      </c>
      <c r="G202" s="24">
        <v>4.2</v>
      </c>
      <c r="H202" s="24">
        <v>0</v>
      </c>
      <c r="I202" s="24">
        <f>20.92-17.36</f>
        <v>3.5600000000000023</v>
      </c>
      <c r="J202" s="24">
        <f t="shared" si="17"/>
        <v>20.92</v>
      </c>
      <c r="K202" s="24" t="s">
        <v>475</v>
      </c>
      <c r="L202" s="25">
        <f t="shared" si="20"/>
        <v>20.92</v>
      </c>
    </row>
    <row r="203" spans="1:12">
      <c r="A203" s="27">
        <v>23</v>
      </c>
      <c r="B203" s="57">
        <v>200940430</v>
      </c>
      <c r="C203" s="60" t="s">
        <v>197</v>
      </c>
      <c r="D203" s="24">
        <v>3.92</v>
      </c>
      <c r="E203" s="24">
        <v>4.0599999999999996</v>
      </c>
      <c r="F203" s="24">
        <v>5.46</v>
      </c>
      <c r="G203" s="24">
        <v>4.76</v>
      </c>
      <c r="H203" s="24">
        <v>0</v>
      </c>
      <c r="I203" s="24">
        <f>24.93-18.2</f>
        <v>6.73</v>
      </c>
      <c r="J203" s="24">
        <f t="shared" si="17"/>
        <v>24.93</v>
      </c>
      <c r="K203" s="24" t="s">
        <v>475</v>
      </c>
      <c r="L203" s="25">
        <f t="shared" si="20"/>
        <v>24.93</v>
      </c>
    </row>
    <row r="204" spans="1:12">
      <c r="A204" s="27">
        <v>24</v>
      </c>
      <c r="B204" s="45">
        <v>200940506</v>
      </c>
      <c r="C204" s="56" t="s">
        <v>198</v>
      </c>
      <c r="D204" s="24">
        <v>8.5399999999999991</v>
      </c>
      <c r="E204" s="24">
        <v>4.2</v>
      </c>
      <c r="F204" s="24">
        <v>5.74</v>
      </c>
      <c r="G204" s="24">
        <v>6.72</v>
      </c>
      <c r="H204" s="24">
        <v>3.08</v>
      </c>
      <c r="I204" s="24">
        <f>34.95-28.28</f>
        <v>6.6700000000000017</v>
      </c>
      <c r="J204" s="24">
        <f t="shared" si="17"/>
        <v>34.950000000000003</v>
      </c>
      <c r="K204" s="24" t="s">
        <v>475</v>
      </c>
      <c r="L204" s="25">
        <f t="shared" si="20"/>
        <v>34.950000000000003</v>
      </c>
    </row>
    <row r="205" spans="1:12">
      <c r="A205" s="27">
        <v>25</v>
      </c>
      <c r="B205" s="57">
        <v>200940516</v>
      </c>
      <c r="C205" s="58" t="s">
        <v>199</v>
      </c>
      <c r="D205" s="24">
        <v>4.2</v>
      </c>
      <c r="E205" s="24">
        <v>3.22</v>
      </c>
      <c r="F205" s="24">
        <v>5.04</v>
      </c>
      <c r="G205" s="24">
        <v>3.64</v>
      </c>
      <c r="H205" s="24">
        <v>0</v>
      </c>
      <c r="I205" s="24">
        <f>21.39-16.1</f>
        <v>5.2899999999999991</v>
      </c>
      <c r="J205" s="24">
        <f t="shared" si="17"/>
        <v>21.389999999999997</v>
      </c>
      <c r="K205" s="24" t="s">
        <v>475</v>
      </c>
      <c r="L205" s="25">
        <f t="shared" si="20"/>
        <v>21.389999999999997</v>
      </c>
    </row>
    <row r="206" spans="1:12">
      <c r="A206" s="27">
        <v>26</v>
      </c>
      <c r="B206" s="45">
        <v>200940519</v>
      </c>
      <c r="C206" s="56" t="s">
        <v>200</v>
      </c>
      <c r="D206" s="24">
        <v>2.94</v>
      </c>
      <c r="E206" s="24">
        <v>2.8</v>
      </c>
      <c r="F206" s="24">
        <v>5.18</v>
      </c>
      <c r="G206" s="24">
        <v>3.64</v>
      </c>
      <c r="H206" s="24">
        <v>0</v>
      </c>
      <c r="I206" s="24">
        <f>21.22-14.56</f>
        <v>6.6599999999999984</v>
      </c>
      <c r="J206" s="24">
        <f t="shared" si="17"/>
        <v>21.22</v>
      </c>
      <c r="K206" s="24" t="s">
        <v>475</v>
      </c>
      <c r="L206" s="25">
        <f t="shared" si="20"/>
        <v>21.22</v>
      </c>
    </row>
    <row r="207" spans="1:12">
      <c r="A207" s="27">
        <v>27</v>
      </c>
      <c r="B207" s="45">
        <v>200940521</v>
      </c>
      <c r="C207" s="56" t="s">
        <v>201</v>
      </c>
      <c r="D207" s="24">
        <v>9.1</v>
      </c>
      <c r="E207" s="24">
        <v>7</v>
      </c>
      <c r="F207" s="24">
        <v>9.94</v>
      </c>
      <c r="G207" s="24">
        <v>9.24</v>
      </c>
      <c r="H207" s="24">
        <v>9.1</v>
      </c>
      <c r="I207" s="24">
        <f>52.86-44.38</f>
        <v>8.4799999999999969</v>
      </c>
      <c r="J207" s="24">
        <f t="shared" si="17"/>
        <v>52.86</v>
      </c>
      <c r="K207" s="24">
        <v>9.8000000000000007</v>
      </c>
      <c r="L207" s="25">
        <f t="shared" si="19"/>
        <v>62.66</v>
      </c>
    </row>
    <row r="208" spans="1:12">
      <c r="A208" s="27">
        <v>28</v>
      </c>
      <c r="B208" s="57">
        <v>200940523</v>
      </c>
      <c r="C208" s="60" t="s">
        <v>202</v>
      </c>
      <c r="D208" s="24">
        <v>2.94</v>
      </c>
      <c r="E208" s="24">
        <v>2.66</v>
      </c>
      <c r="F208" s="24">
        <v>2.38</v>
      </c>
      <c r="G208" s="24">
        <v>3.08</v>
      </c>
      <c r="H208" s="24">
        <v>0</v>
      </c>
      <c r="I208" s="24">
        <f>16.26-11.06</f>
        <v>5.2000000000000011</v>
      </c>
      <c r="J208" s="24">
        <f t="shared" si="17"/>
        <v>16.260000000000002</v>
      </c>
      <c r="K208" s="24" t="s">
        <v>475</v>
      </c>
      <c r="L208" s="25">
        <f>+J208</f>
        <v>16.260000000000002</v>
      </c>
    </row>
    <row r="209" spans="1:12">
      <c r="A209" s="27">
        <v>29</v>
      </c>
      <c r="B209" s="45">
        <v>200940739</v>
      </c>
      <c r="C209" s="56" t="s">
        <v>203</v>
      </c>
      <c r="D209" s="24">
        <v>3.64</v>
      </c>
      <c r="E209" s="24">
        <v>3.08</v>
      </c>
      <c r="F209" s="24">
        <v>2.8</v>
      </c>
      <c r="G209" s="24">
        <v>1.96</v>
      </c>
      <c r="H209" s="24">
        <v>0</v>
      </c>
      <c r="I209" s="24">
        <f>18.84-11.48</f>
        <v>7.3599999999999994</v>
      </c>
      <c r="J209" s="24">
        <f t="shared" si="17"/>
        <v>18.84</v>
      </c>
      <c r="K209" s="24" t="s">
        <v>475</v>
      </c>
      <c r="L209" s="25">
        <f t="shared" ref="L209:L212" si="21">+J209</f>
        <v>18.84</v>
      </c>
    </row>
    <row r="210" spans="1:12">
      <c r="A210" s="27">
        <v>30</v>
      </c>
      <c r="B210" s="45">
        <v>200941008</v>
      </c>
      <c r="C210" s="59" t="s">
        <v>204</v>
      </c>
      <c r="D210" s="24">
        <v>2.94</v>
      </c>
      <c r="E210" s="24">
        <v>2.52</v>
      </c>
      <c r="F210" s="24">
        <v>3.64</v>
      </c>
      <c r="G210" s="24">
        <v>0</v>
      </c>
      <c r="H210" s="24">
        <v>0</v>
      </c>
      <c r="I210" s="24">
        <f>12.76-9.1</f>
        <v>3.66</v>
      </c>
      <c r="J210" s="24">
        <f t="shared" si="17"/>
        <v>12.76</v>
      </c>
      <c r="K210" s="24" t="s">
        <v>475</v>
      </c>
      <c r="L210" s="25">
        <f t="shared" si="21"/>
        <v>12.76</v>
      </c>
    </row>
    <row r="211" spans="1:12">
      <c r="A211" s="27">
        <v>31</v>
      </c>
      <c r="B211" s="45">
        <v>200941435</v>
      </c>
      <c r="C211" s="59" t="s">
        <v>205</v>
      </c>
      <c r="D211" s="24">
        <v>3.5</v>
      </c>
      <c r="E211" s="24">
        <v>3.92</v>
      </c>
      <c r="F211" s="24">
        <v>0</v>
      </c>
      <c r="G211" s="24">
        <v>0</v>
      </c>
      <c r="H211" s="24">
        <v>0</v>
      </c>
      <c r="I211" s="24">
        <f>10.05-7.42</f>
        <v>2.6300000000000008</v>
      </c>
      <c r="J211" s="24">
        <f t="shared" si="17"/>
        <v>10.050000000000001</v>
      </c>
      <c r="K211" s="24" t="s">
        <v>475</v>
      </c>
      <c r="L211" s="25">
        <f t="shared" si="21"/>
        <v>10.050000000000001</v>
      </c>
    </row>
    <row r="212" spans="1:12">
      <c r="A212" s="27">
        <v>32</v>
      </c>
      <c r="B212" s="45">
        <v>200941436</v>
      </c>
      <c r="C212" s="56" t="s">
        <v>206</v>
      </c>
      <c r="D212" s="24">
        <v>2.8</v>
      </c>
      <c r="E212" s="24">
        <v>2.52</v>
      </c>
      <c r="F212" s="24">
        <v>4.2</v>
      </c>
      <c r="G212" s="24">
        <v>3.92</v>
      </c>
      <c r="H212" s="24">
        <v>0</v>
      </c>
      <c r="I212" s="24">
        <f>19.78-13.44</f>
        <v>6.3400000000000016</v>
      </c>
      <c r="J212" s="24">
        <f t="shared" si="17"/>
        <v>19.78</v>
      </c>
      <c r="K212" s="24" t="s">
        <v>475</v>
      </c>
      <c r="L212" s="25">
        <f t="shared" si="21"/>
        <v>19.78</v>
      </c>
    </row>
    <row r="213" spans="1:12">
      <c r="A213" s="27">
        <v>33</v>
      </c>
      <c r="B213" s="57">
        <v>200941438</v>
      </c>
      <c r="C213" s="60" t="s">
        <v>207</v>
      </c>
      <c r="D213" s="24">
        <v>4.9000000000000004</v>
      </c>
      <c r="E213" s="24">
        <v>6.16</v>
      </c>
      <c r="F213" s="24">
        <v>5.46</v>
      </c>
      <c r="G213" s="24">
        <v>6.16</v>
      </c>
      <c r="H213" s="24">
        <v>10</v>
      </c>
      <c r="I213" s="24">
        <v>9.24</v>
      </c>
      <c r="J213" s="24">
        <f t="shared" si="17"/>
        <v>41.92</v>
      </c>
      <c r="K213" s="24">
        <v>3.6</v>
      </c>
      <c r="L213" s="25">
        <f>+K213+J213</f>
        <v>45.52</v>
      </c>
    </row>
    <row r="214" spans="1:12">
      <c r="A214" s="27">
        <v>34</v>
      </c>
      <c r="B214" s="45">
        <v>200941680</v>
      </c>
      <c r="C214" s="60" t="s">
        <v>208</v>
      </c>
      <c r="D214" s="24">
        <v>5.04</v>
      </c>
      <c r="E214" s="24">
        <v>8.5399999999999991</v>
      </c>
      <c r="F214" s="24">
        <v>6.44</v>
      </c>
      <c r="G214" s="24">
        <v>6.72</v>
      </c>
      <c r="H214" s="24">
        <v>8.44</v>
      </c>
      <c r="I214" s="24">
        <f>41.39-33.18</f>
        <v>8.2100000000000009</v>
      </c>
      <c r="J214" s="24">
        <f t="shared" si="17"/>
        <v>43.389999999999993</v>
      </c>
      <c r="K214" s="24">
        <v>4.2</v>
      </c>
      <c r="L214" s="25">
        <f t="shared" si="19"/>
        <v>47.589999999999996</v>
      </c>
    </row>
    <row r="215" spans="1:12">
      <c r="A215" s="27">
        <v>35</v>
      </c>
      <c r="B215" s="45">
        <v>200941794</v>
      </c>
      <c r="C215" s="56" t="s">
        <v>209</v>
      </c>
      <c r="D215" s="24">
        <v>10.64</v>
      </c>
      <c r="E215" s="24">
        <v>9.24</v>
      </c>
      <c r="F215" s="24">
        <v>10.92</v>
      </c>
      <c r="G215" s="24">
        <v>10.92</v>
      </c>
      <c r="H215" s="24">
        <v>8.4</v>
      </c>
      <c r="I215" s="24">
        <f>56.91-50.12</f>
        <v>6.7899999999999991</v>
      </c>
      <c r="J215" s="24">
        <f t="shared" si="17"/>
        <v>56.910000000000004</v>
      </c>
      <c r="K215" s="24">
        <v>12</v>
      </c>
      <c r="L215" s="25">
        <f t="shared" si="19"/>
        <v>68.91</v>
      </c>
    </row>
    <row r="216" spans="1:12">
      <c r="A216" s="27">
        <v>36</v>
      </c>
      <c r="B216" s="45">
        <v>200941891</v>
      </c>
      <c r="C216" s="60" t="s">
        <v>210</v>
      </c>
      <c r="D216" s="24">
        <v>2.94</v>
      </c>
      <c r="E216" s="24">
        <v>4.4800000000000004</v>
      </c>
      <c r="F216" s="24">
        <v>5.32</v>
      </c>
      <c r="G216" s="24">
        <v>4.76</v>
      </c>
      <c r="H216" s="24">
        <v>2.8</v>
      </c>
      <c r="I216" s="24">
        <f>28.33-20.3</f>
        <v>8.0299999999999976</v>
      </c>
      <c r="J216" s="24">
        <f t="shared" si="17"/>
        <v>28.33</v>
      </c>
      <c r="K216" s="24" t="s">
        <v>475</v>
      </c>
      <c r="L216" s="25">
        <f>+J216</f>
        <v>28.33</v>
      </c>
    </row>
    <row r="217" spans="1:12">
      <c r="A217" s="27">
        <v>37</v>
      </c>
      <c r="B217" s="45">
        <v>200941910</v>
      </c>
      <c r="C217" s="56" t="s">
        <v>211</v>
      </c>
      <c r="D217" s="24">
        <v>5.74</v>
      </c>
      <c r="E217" s="24">
        <v>3.92</v>
      </c>
      <c r="F217" s="24">
        <v>4.4800000000000004</v>
      </c>
      <c r="G217" s="24">
        <v>3.64</v>
      </c>
      <c r="H217" s="24">
        <v>0</v>
      </c>
      <c r="I217" s="24">
        <f>25.45-17.78</f>
        <v>7.6699999999999982</v>
      </c>
      <c r="J217" s="24">
        <f t="shared" si="17"/>
        <v>25.450000000000003</v>
      </c>
      <c r="K217" s="24" t="s">
        <v>475</v>
      </c>
      <c r="L217" s="25">
        <f t="shared" ref="L217:L238" si="22">+J217</f>
        <v>25.450000000000003</v>
      </c>
    </row>
    <row r="218" spans="1:12">
      <c r="A218" s="27">
        <v>38</v>
      </c>
      <c r="B218" s="45">
        <v>200942019</v>
      </c>
      <c r="C218" s="56" t="s">
        <v>212</v>
      </c>
      <c r="D218" s="24">
        <v>3.92</v>
      </c>
      <c r="E218" s="24">
        <v>3.08</v>
      </c>
      <c r="F218" s="24">
        <v>3.64</v>
      </c>
      <c r="G218" s="24">
        <v>2.52</v>
      </c>
      <c r="H218" s="24">
        <v>0</v>
      </c>
      <c r="I218" s="24">
        <f>19.85-13.16</f>
        <v>6.6900000000000013</v>
      </c>
      <c r="J218" s="24">
        <f t="shared" si="17"/>
        <v>19.850000000000001</v>
      </c>
      <c r="K218" s="24" t="s">
        <v>475</v>
      </c>
      <c r="L218" s="25">
        <f t="shared" si="22"/>
        <v>19.850000000000001</v>
      </c>
    </row>
    <row r="219" spans="1:12">
      <c r="A219" s="27">
        <v>39</v>
      </c>
      <c r="B219" s="45">
        <v>200942151</v>
      </c>
      <c r="C219" s="56" t="s">
        <v>213</v>
      </c>
      <c r="D219" s="24">
        <v>2.94</v>
      </c>
      <c r="E219" s="24">
        <v>4.0599999999999996</v>
      </c>
      <c r="F219" s="24">
        <v>4.62</v>
      </c>
      <c r="G219" s="24">
        <v>3.36</v>
      </c>
      <c r="H219" s="24">
        <v>2.38</v>
      </c>
      <c r="I219" s="24">
        <f>21.89-17.36</f>
        <v>4.5300000000000011</v>
      </c>
      <c r="J219" s="24">
        <f t="shared" si="17"/>
        <v>21.89</v>
      </c>
      <c r="K219" s="24" t="s">
        <v>475</v>
      </c>
      <c r="L219" s="25">
        <f t="shared" si="22"/>
        <v>21.89</v>
      </c>
    </row>
    <row r="220" spans="1:12">
      <c r="A220" s="27">
        <v>40</v>
      </c>
      <c r="B220" s="45">
        <v>200942666</v>
      </c>
      <c r="C220" s="56" t="s">
        <v>214</v>
      </c>
      <c r="D220" s="24">
        <v>5.04</v>
      </c>
      <c r="E220" s="24">
        <v>2.52</v>
      </c>
      <c r="F220" s="24">
        <v>4.62</v>
      </c>
      <c r="G220" s="24">
        <v>7.28</v>
      </c>
      <c r="H220" s="24">
        <v>0</v>
      </c>
      <c r="I220" s="24">
        <f>27.41-19.46</f>
        <v>7.9499999999999993</v>
      </c>
      <c r="J220" s="24">
        <f t="shared" si="17"/>
        <v>27.41</v>
      </c>
      <c r="K220" s="24" t="s">
        <v>475</v>
      </c>
      <c r="L220" s="25">
        <f t="shared" si="22"/>
        <v>27.41</v>
      </c>
    </row>
    <row r="221" spans="1:12">
      <c r="A221" s="27">
        <v>41</v>
      </c>
      <c r="B221" s="45">
        <v>200942804</v>
      </c>
      <c r="C221" s="59" t="s">
        <v>215</v>
      </c>
      <c r="D221" s="24">
        <v>2.94</v>
      </c>
      <c r="E221" s="24">
        <v>2.52</v>
      </c>
      <c r="F221" s="24">
        <v>3.5</v>
      </c>
      <c r="G221" s="24">
        <v>4.4800000000000004</v>
      </c>
      <c r="H221" s="24">
        <v>0</v>
      </c>
      <c r="I221" s="24">
        <f>20.18-13.44</f>
        <v>6.74</v>
      </c>
      <c r="J221" s="24">
        <f t="shared" si="17"/>
        <v>20.180000000000003</v>
      </c>
      <c r="K221" s="24" t="s">
        <v>475</v>
      </c>
      <c r="L221" s="25">
        <f t="shared" si="22"/>
        <v>20.180000000000003</v>
      </c>
    </row>
    <row r="222" spans="1:12">
      <c r="A222" s="27">
        <v>42</v>
      </c>
      <c r="B222" s="45">
        <v>200942806</v>
      </c>
      <c r="C222" s="59" t="s">
        <v>216</v>
      </c>
      <c r="D222" s="24">
        <v>2.94</v>
      </c>
      <c r="E222" s="24">
        <v>3.08</v>
      </c>
      <c r="F222" s="24">
        <v>0</v>
      </c>
      <c r="G222" s="24">
        <v>0</v>
      </c>
      <c r="H222" s="24">
        <v>0</v>
      </c>
      <c r="I222" s="24">
        <f>8.63-6.02</f>
        <v>2.6100000000000012</v>
      </c>
      <c r="J222" s="24">
        <f t="shared" si="17"/>
        <v>8.6300000000000008</v>
      </c>
      <c r="K222" s="24" t="s">
        <v>475</v>
      </c>
      <c r="L222" s="25">
        <f t="shared" si="22"/>
        <v>8.6300000000000008</v>
      </c>
    </row>
    <row r="223" spans="1:12">
      <c r="A223" s="27">
        <v>43</v>
      </c>
      <c r="B223" s="45">
        <v>200942915</v>
      </c>
      <c r="C223" s="59" t="s">
        <v>217</v>
      </c>
      <c r="D223" s="24">
        <v>2.94</v>
      </c>
      <c r="E223" s="24">
        <v>3.5</v>
      </c>
      <c r="F223" s="24">
        <v>5.18</v>
      </c>
      <c r="G223" s="24">
        <v>4.4800000000000004</v>
      </c>
      <c r="H223" s="24">
        <v>0</v>
      </c>
      <c r="I223" s="24">
        <f>19.64-16.1</f>
        <v>3.5399999999999991</v>
      </c>
      <c r="J223" s="24">
        <f t="shared" si="17"/>
        <v>19.64</v>
      </c>
      <c r="K223" s="24" t="s">
        <v>475</v>
      </c>
      <c r="L223" s="25">
        <f t="shared" si="22"/>
        <v>19.64</v>
      </c>
    </row>
    <row r="224" spans="1:12">
      <c r="A224" s="27">
        <v>44</v>
      </c>
      <c r="B224" s="57">
        <v>200942930</v>
      </c>
      <c r="C224" s="60" t="s">
        <v>218</v>
      </c>
      <c r="D224" s="24">
        <v>4.2</v>
      </c>
      <c r="E224" s="24">
        <v>3.36</v>
      </c>
      <c r="F224" s="24">
        <v>4.62</v>
      </c>
      <c r="G224" s="24">
        <v>3.08</v>
      </c>
      <c r="H224" s="24">
        <v>2.66</v>
      </c>
      <c r="I224" s="24">
        <f>25.61-17.92</f>
        <v>7.6899999999999977</v>
      </c>
      <c r="J224" s="24">
        <f t="shared" si="17"/>
        <v>25.609999999999996</v>
      </c>
      <c r="K224" s="24" t="s">
        <v>475</v>
      </c>
      <c r="L224" s="25">
        <f t="shared" si="22"/>
        <v>25.609999999999996</v>
      </c>
    </row>
    <row r="225" spans="1:12">
      <c r="A225" s="27">
        <v>45</v>
      </c>
      <c r="B225" s="45">
        <v>200942987</v>
      </c>
      <c r="C225" s="56" t="s">
        <v>219</v>
      </c>
      <c r="D225" s="24">
        <v>4.9000000000000004</v>
      </c>
      <c r="E225" s="24">
        <v>3.92</v>
      </c>
      <c r="F225" s="24">
        <v>3.92</v>
      </c>
      <c r="G225" s="24">
        <v>3.36</v>
      </c>
      <c r="H225" s="24">
        <v>0</v>
      </c>
      <c r="I225" s="24">
        <f>23.74-16.1</f>
        <v>7.639999999999997</v>
      </c>
      <c r="J225" s="24">
        <f t="shared" si="17"/>
        <v>23.739999999999995</v>
      </c>
      <c r="K225" s="24" t="s">
        <v>475</v>
      </c>
      <c r="L225" s="25">
        <f t="shared" si="22"/>
        <v>23.739999999999995</v>
      </c>
    </row>
    <row r="226" spans="1:12">
      <c r="A226" s="27">
        <v>46</v>
      </c>
      <c r="B226" s="45">
        <v>200943116</v>
      </c>
      <c r="C226" s="56" t="s">
        <v>220</v>
      </c>
      <c r="D226" s="24">
        <v>2.94</v>
      </c>
      <c r="E226" s="24">
        <v>4.0599999999999996</v>
      </c>
      <c r="F226" s="24">
        <v>3.22</v>
      </c>
      <c r="G226" s="24">
        <v>0</v>
      </c>
      <c r="H226" s="24">
        <v>0</v>
      </c>
      <c r="I226" s="24">
        <f>13.9-10.22</f>
        <v>3.6799999999999997</v>
      </c>
      <c r="J226" s="24">
        <f t="shared" si="17"/>
        <v>13.9</v>
      </c>
      <c r="K226" s="24" t="s">
        <v>475</v>
      </c>
      <c r="L226" s="25">
        <f t="shared" si="22"/>
        <v>13.9</v>
      </c>
    </row>
    <row r="227" spans="1:12">
      <c r="A227" s="27">
        <v>47</v>
      </c>
      <c r="B227" s="45">
        <v>200943121</v>
      </c>
      <c r="C227" s="56" t="s">
        <v>221</v>
      </c>
      <c r="D227" s="24">
        <v>4.0599999999999996</v>
      </c>
      <c r="E227" s="24">
        <v>3.78</v>
      </c>
      <c r="F227" s="24">
        <v>4.2</v>
      </c>
      <c r="G227" s="24">
        <v>3.36</v>
      </c>
      <c r="H227" s="24">
        <v>0</v>
      </c>
      <c r="I227" s="24">
        <f>19.93-15.4</f>
        <v>4.5299999999999994</v>
      </c>
      <c r="J227" s="24">
        <f t="shared" si="17"/>
        <v>19.93</v>
      </c>
      <c r="K227" s="24" t="s">
        <v>475</v>
      </c>
      <c r="L227" s="25">
        <f t="shared" si="22"/>
        <v>19.93</v>
      </c>
    </row>
    <row r="228" spans="1:12">
      <c r="A228" s="27">
        <v>48</v>
      </c>
      <c r="B228" s="45">
        <v>200943122</v>
      </c>
      <c r="C228" s="56" t="s">
        <v>222</v>
      </c>
      <c r="D228" s="24">
        <v>2.94</v>
      </c>
      <c r="E228" s="24">
        <v>5.32</v>
      </c>
      <c r="F228" s="24">
        <v>3.78</v>
      </c>
      <c r="G228" s="24">
        <v>5.04</v>
      </c>
      <c r="H228" s="24">
        <v>0</v>
      </c>
      <c r="I228" s="24">
        <f>20.64-17.08</f>
        <v>3.5600000000000023</v>
      </c>
      <c r="J228" s="24">
        <f t="shared" si="17"/>
        <v>20.640000000000004</v>
      </c>
      <c r="K228" s="24" t="s">
        <v>475</v>
      </c>
      <c r="L228" s="25">
        <f t="shared" si="22"/>
        <v>20.640000000000004</v>
      </c>
    </row>
    <row r="229" spans="1:12">
      <c r="A229" s="27">
        <v>49</v>
      </c>
      <c r="B229" s="45">
        <v>200943128</v>
      </c>
      <c r="C229" s="56" t="s">
        <v>223</v>
      </c>
      <c r="D229" s="24">
        <v>3.64</v>
      </c>
      <c r="E229" s="24">
        <v>6.58</v>
      </c>
      <c r="F229" s="24">
        <v>2.8</v>
      </c>
      <c r="G229" s="24">
        <v>2.52</v>
      </c>
      <c r="H229" s="24">
        <v>0</v>
      </c>
      <c r="I229" s="24">
        <f>23.17-15.54</f>
        <v>7.6300000000000026</v>
      </c>
      <c r="J229" s="24">
        <f t="shared" si="17"/>
        <v>23.17</v>
      </c>
      <c r="K229" s="24" t="s">
        <v>475</v>
      </c>
      <c r="L229" s="25">
        <f t="shared" si="22"/>
        <v>23.17</v>
      </c>
    </row>
    <row r="230" spans="1:12">
      <c r="A230" s="27">
        <v>50</v>
      </c>
      <c r="B230" s="45">
        <v>200943314</v>
      </c>
      <c r="C230" s="56" t="s">
        <v>224</v>
      </c>
      <c r="D230" s="24">
        <v>4.34</v>
      </c>
      <c r="E230" s="24">
        <v>4.2</v>
      </c>
      <c r="F230" s="24">
        <v>3.5</v>
      </c>
      <c r="G230" s="24">
        <v>3.92</v>
      </c>
      <c r="H230" s="24">
        <v>0</v>
      </c>
      <c r="I230" s="24">
        <f>20.5-15.96</f>
        <v>4.5399999999999991</v>
      </c>
      <c r="J230" s="24">
        <f t="shared" si="17"/>
        <v>20.5</v>
      </c>
      <c r="K230" s="24" t="s">
        <v>475</v>
      </c>
      <c r="L230" s="25">
        <f t="shared" si="22"/>
        <v>20.5</v>
      </c>
    </row>
    <row r="231" spans="1:12">
      <c r="A231" s="27">
        <v>51</v>
      </c>
      <c r="B231" s="45">
        <v>200943330</v>
      </c>
      <c r="C231" s="56" t="s">
        <v>225</v>
      </c>
      <c r="D231" s="24">
        <v>2.94</v>
      </c>
      <c r="E231" s="24">
        <v>0</v>
      </c>
      <c r="F231" s="24">
        <v>2.94</v>
      </c>
      <c r="G231" s="24">
        <v>0</v>
      </c>
      <c r="H231" s="24">
        <v>0</v>
      </c>
      <c r="I231" s="24">
        <f>7.49-5.88</f>
        <v>1.6100000000000003</v>
      </c>
      <c r="J231" s="24">
        <f t="shared" si="17"/>
        <v>7.49</v>
      </c>
      <c r="K231" s="24" t="s">
        <v>475</v>
      </c>
      <c r="L231" s="25">
        <f t="shared" si="22"/>
        <v>7.49</v>
      </c>
    </row>
    <row r="232" spans="1:12">
      <c r="A232" s="27">
        <v>52</v>
      </c>
      <c r="B232" s="57">
        <v>200943368</v>
      </c>
      <c r="C232" s="60" t="s">
        <v>226</v>
      </c>
      <c r="D232" s="24">
        <v>5.6</v>
      </c>
      <c r="E232" s="24">
        <v>7.42</v>
      </c>
      <c r="F232" s="24">
        <v>5.18</v>
      </c>
      <c r="G232" s="24">
        <v>4.2</v>
      </c>
      <c r="H232" s="24">
        <v>5.04</v>
      </c>
      <c r="I232" s="24">
        <f>35.12-27.44</f>
        <v>7.6799999999999962</v>
      </c>
      <c r="J232" s="24">
        <f t="shared" si="17"/>
        <v>35.119999999999997</v>
      </c>
      <c r="K232" s="24" t="s">
        <v>475</v>
      </c>
      <c r="L232" s="25">
        <f t="shared" si="22"/>
        <v>35.119999999999997</v>
      </c>
    </row>
    <row r="233" spans="1:12">
      <c r="A233" s="27">
        <v>53</v>
      </c>
      <c r="B233" s="45">
        <v>200943645</v>
      </c>
      <c r="C233" s="60" t="s">
        <v>227</v>
      </c>
      <c r="D233" s="24">
        <v>2.94</v>
      </c>
      <c r="E233" s="24">
        <v>3.64</v>
      </c>
      <c r="F233" s="24">
        <v>5.6</v>
      </c>
      <c r="G233" s="24">
        <v>5.04</v>
      </c>
      <c r="H233" s="24">
        <v>3</v>
      </c>
      <c r="I233" s="24">
        <f>21.78-20.22</f>
        <v>1.5600000000000023</v>
      </c>
      <c r="J233" s="24">
        <f t="shared" si="17"/>
        <v>21.78</v>
      </c>
      <c r="K233" s="24" t="s">
        <v>475</v>
      </c>
      <c r="L233" s="25">
        <f t="shared" si="22"/>
        <v>21.78</v>
      </c>
    </row>
    <row r="234" spans="1:12">
      <c r="A234" s="27">
        <v>54</v>
      </c>
      <c r="B234" s="45">
        <v>200943703</v>
      </c>
      <c r="C234" s="60" t="s">
        <v>228</v>
      </c>
      <c r="D234" s="24">
        <v>4.9000000000000004</v>
      </c>
      <c r="E234" s="24">
        <v>7.28</v>
      </c>
      <c r="F234" s="24">
        <v>5.74</v>
      </c>
      <c r="G234" s="24">
        <v>7</v>
      </c>
      <c r="H234" s="24">
        <v>4.4800000000000004</v>
      </c>
      <c r="I234" s="24">
        <f>37.57-29.4</f>
        <v>8.1700000000000017</v>
      </c>
      <c r="J234" s="24">
        <f t="shared" si="17"/>
        <v>37.57</v>
      </c>
      <c r="K234" s="24" t="s">
        <v>475</v>
      </c>
      <c r="L234" s="25">
        <f t="shared" si="22"/>
        <v>37.57</v>
      </c>
    </row>
    <row r="235" spans="1:12">
      <c r="A235" s="27">
        <v>55</v>
      </c>
      <c r="B235" s="45">
        <v>200944051</v>
      </c>
      <c r="C235" s="60" t="s">
        <v>229</v>
      </c>
      <c r="D235" s="24">
        <v>4.2</v>
      </c>
      <c r="E235" s="24">
        <v>6.86</v>
      </c>
      <c r="F235" s="24">
        <v>4.34</v>
      </c>
      <c r="G235" s="24">
        <v>2.8</v>
      </c>
      <c r="H235" s="24">
        <v>0</v>
      </c>
      <c r="I235" s="24">
        <f>21.78-18.2</f>
        <v>3.5800000000000018</v>
      </c>
      <c r="J235" s="24">
        <f t="shared" si="17"/>
        <v>21.78</v>
      </c>
      <c r="K235" s="24" t="s">
        <v>475</v>
      </c>
      <c r="L235" s="25">
        <f t="shared" si="22"/>
        <v>21.78</v>
      </c>
    </row>
    <row r="236" spans="1:12">
      <c r="A236" s="27">
        <v>56</v>
      </c>
      <c r="B236" s="37">
        <v>200944223</v>
      </c>
      <c r="C236" s="52" t="s">
        <v>230</v>
      </c>
      <c r="D236" s="24">
        <v>3.22</v>
      </c>
      <c r="E236" s="24">
        <v>3.22</v>
      </c>
      <c r="F236" s="24">
        <v>0</v>
      </c>
      <c r="G236" s="24">
        <v>0</v>
      </c>
      <c r="H236" s="24">
        <v>0</v>
      </c>
      <c r="I236" s="24">
        <v>0</v>
      </c>
      <c r="J236" s="24">
        <f t="shared" si="17"/>
        <v>6.44</v>
      </c>
      <c r="K236" s="24" t="s">
        <v>475</v>
      </c>
      <c r="L236" s="25">
        <f t="shared" si="22"/>
        <v>6.44</v>
      </c>
    </row>
    <row r="237" spans="1:12">
      <c r="A237" s="27">
        <v>57</v>
      </c>
      <c r="B237" s="45">
        <v>200944768</v>
      </c>
      <c r="C237" s="60" t="s">
        <v>231</v>
      </c>
      <c r="D237" s="24">
        <v>2.94</v>
      </c>
      <c r="E237" s="24">
        <v>3.5</v>
      </c>
      <c r="F237" s="24">
        <v>6.44</v>
      </c>
      <c r="G237" s="24">
        <v>6.16</v>
      </c>
      <c r="H237" s="24">
        <v>7.42</v>
      </c>
      <c r="I237" s="24">
        <f>34.04-26.46</f>
        <v>7.5799999999999983</v>
      </c>
      <c r="J237" s="24">
        <f t="shared" si="17"/>
        <v>34.04</v>
      </c>
      <c r="K237" s="24" t="s">
        <v>475</v>
      </c>
      <c r="L237" s="25">
        <f t="shared" si="22"/>
        <v>34.04</v>
      </c>
    </row>
    <row r="238" spans="1:12">
      <c r="A238" s="27">
        <v>58</v>
      </c>
      <c r="B238" s="45">
        <v>200944831</v>
      </c>
      <c r="C238" s="56" t="s">
        <v>232</v>
      </c>
      <c r="D238" s="24">
        <v>3.5</v>
      </c>
      <c r="E238" s="24">
        <v>4.62</v>
      </c>
      <c r="F238" s="24">
        <v>4.62</v>
      </c>
      <c r="G238" s="24">
        <v>2.8</v>
      </c>
      <c r="H238" s="24">
        <v>5.32</v>
      </c>
      <c r="I238" s="24">
        <f>28.56-20.86</f>
        <v>7.6999999999999993</v>
      </c>
      <c r="J238" s="24">
        <f t="shared" si="17"/>
        <v>28.560000000000002</v>
      </c>
      <c r="K238" s="24" t="s">
        <v>475</v>
      </c>
      <c r="L238" s="25">
        <f t="shared" si="22"/>
        <v>28.560000000000002</v>
      </c>
    </row>
    <row r="239" spans="1:12">
      <c r="A239" s="29"/>
      <c r="B239" s="29"/>
      <c r="C239" s="30"/>
      <c r="D239" s="31"/>
      <c r="E239" s="31"/>
      <c r="F239" s="31"/>
      <c r="G239" s="31"/>
      <c r="H239" s="31"/>
      <c r="I239" s="31"/>
      <c r="J239" s="31"/>
      <c r="K239" s="31"/>
      <c r="L239" s="32"/>
    </row>
    <row r="240" spans="1:12">
      <c r="A240" s="29"/>
      <c r="B240" s="29"/>
      <c r="C240" s="30"/>
      <c r="D240" s="31"/>
      <c r="E240" s="31"/>
      <c r="F240" s="31"/>
      <c r="G240" s="31"/>
      <c r="H240" s="31"/>
      <c r="I240" s="31"/>
      <c r="J240" s="31"/>
      <c r="K240" s="31"/>
      <c r="L240" s="32"/>
    </row>
    <row r="241" spans="1:12" ht="17.25" thickBot="1">
      <c r="A241" s="33"/>
      <c r="B241" s="33"/>
      <c r="C241" s="34"/>
      <c r="D241" s="31"/>
      <c r="E241" s="31"/>
      <c r="F241" s="31"/>
      <c r="G241" s="31"/>
      <c r="H241" s="35"/>
      <c r="I241" s="35"/>
      <c r="J241" s="35"/>
      <c r="K241" s="9"/>
      <c r="L241" s="32"/>
    </row>
    <row r="242" spans="1:12">
      <c r="H242" s="100" t="s">
        <v>439</v>
      </c>
      <c r="I242" s="100"/>
      <c r="J242" s="100"/>
      <c r="L242" s="1"/>
    </row>
    <row r="243" spans="1:12">
      <c r="D243" s="36"/>
      <c r="H243" s="100" t="s">
        <v>430</v>
      </c>
      <c r="I243" s="100"/>
      <c r="J243" s="100"/>
      <c r="L243" s="1"/>
    </row>
    <row r="244" spans="1:12">
      <c r="D244" s="36"/>
      <c r="H244" s="100" t="s">
        <v>440</v>
      </c>
      <c r="I244" s="100"/>
      <c r="J244" s="100"/>
      <c r="L244" s="1"/>
    </row>
    <row r="253" spans="1:12" ht="17.25" thickBot="1">
      <c r="A253" s="1" t="s">
        <v>0</v>
      </c>
      <c r="I253" s="3"/>
    </row>
    <row r="254" spans="1:12">
      <c r="A254" s="1" t="s">
        <v>1</v>
      </c>
      <c r="F254" s="4"/>
      <c r="G254" s="5"/>
      <c r="H254" s="6"/>
      <c r="I254" s="7"/>
    </row>
    <row r="255" spans="1:12">
      <c r="A255" s="8" t="s">
        <v>2</v>
      </c>
      <c r="B255" s="9"/>
      <c r="E255" s="7"/>
      <c r="F255" s="10"/>
      <c r="G255" s="11"/>
      <c r="H255" s="12"/>
      <c r="I255" s="7"/>
    </row>
    <row r="256" spans="1:12" ht="17.25" thickBot="1">
      <c r="A256" s="13" t="s">
        <v>3</v>
      </c>
      <c r="B256" s="9"/>
      <c r="E256" s="7"/>
      <c r="F256" s="10"/>
      <c r="G256" s="11"/>
      <c r="H256" s="12"/>
      <c r="I256" s="7"/>
    </row>
    <row r="257" spans="1:12" ht="17.25" thickBot="1">
      <c r="A257" s="14" t="s">
        <v>22</v>
      </c>
      <c r="B257" s="15"/>
      <c r="C257" s="16"/>
      <c r="E257" s="7"/>
      <c r="F257" s="17"/>
      <c r="G257" s="18"/>
      <c r="H257" s="19"/>
      <c r="I257" s="7"/>
    </row>
    <row r="258" spans="1:12">
      <c r="A258" s="8"/>
      <c r="B258" s="9"/>
      <c r="E258" s="7"/>
      <c r="I258" s="3"/>
    </row>
    <row r="259" spans="1:12">
      <c r="A259" s="1" t="s">
        <v>91</v>
      </c>
      <c r="B259" s="9"/>
      <c r="C259" s="20" t="s">
        <v>233</v>
      </c>
      <c r="E259" s="7"/>
      <c r="I259" s="3"/>
    </row>
    <row r="260" spans="1:12">
      <c r="A260" s="1" t="s">
        <v>4</v>
      </c>
      <c r="C260" s="20" t="s">
        <v>437</v>
      </c>
      <c r="I260" s="3"/>
    </row>
    <row r="261" spans="1:12">
      <c r="A261" s="1" t="s">
        <v>5</v>
      </c>
      <c r="C261" s="20" t="s">
        <v>438</v>
      </c>
    </row>
    <row r="262" spans="1:12">
      <c r="A262" s="21"/>
      <c r="B262" s="21"/>
      <c r="C262" s="21"/>
      <c r="D262" s="21"/>
      <c r="E262" s="21"/>
      <c r="F262" s="21"/>
      <c r="G262" s="21"/>
      <c r="H262" s="21"/>
      <c r="I262" s="21"/>
      <c r="J262" s="21"/>
    </row>
    <row r="263" spans="1:12">
      <c r="A263" s="1"/>
      <c r="C263" s="22" t="s">
        <v>6</v>
      </c>
      <c r="D263" s="22" t="s">
        <v>441</v>
      </c>
      <c r="E263" s="22" t="s">
        <v>441</v>
      </c>
      <c r="F263" s="22" t="s">
        <v>441</v>
      </c>
      <c r="G263" s="22" t="s">
        <v>441</v>
      </c>
      <c r="H263" s="22" t="s">
        <v>441</v>
      </c>
      <c r="I263" s="22" t="s">
        <v>442</v>
      </c>
      <c r="J263" s="22" t="s">
        <v>8</v>
      </c>
      <c r="K263" s="22" t="s">
        <v>7</v>
      </c>
      <c r="L263" s="22" t="s">
        <v>9</v>
      </c>
    </row>
    <row r="264" spans="1:12">
      <c r="A264" s="22" t="s">
        <v>10</v>
      </c>
      <c r="B264" s="22" t="s">
        <v>11</v>
      </c>
      <c r="C264" s="22" t="s">
        <v>12</v>
      </c>
      <c r="D264" s="22" t="s">
        <v>13</v>
      </c>
      <c r="E264" s="22" t="s">
        <v>14</v>
      </c>
      <c r="F264" s="22" t="s">
        <v>15</v>
      </c>
      <c r="G264" s="22" t="s">
        <v>16</v>
      </c>
      <c r="H264" s="22" t="s">
        <v>17</v>
      </c>
      <c r="I264" s="22" t="s">
        <v>95</v>
      </c>
      <c r="J264" s="22" t="s">
        <v>18</v>
      </c>
      <c r="K264" s="22" t="s">
        <v>19</v>
      </c>
      <c r="L264" s="22" t="s">
        <v>20</v>
      </c>
    </row>
    <row r="265" spans="1:12">
      <c r="A265" s="23">
        <v>1</v>
      </c>
      <c r="B265" s="45">
        <v>200741726</v>
      </c>
      <c r="C265" s="56" t="s">
        <v>235</v>
      </c>
      <c r="D265" s="24">
        <v>8.68</v>
      </c>
      <c r="E265" s="24">
        <v>7.28</v>
      </c>
      <c r="F265" s="24">
        <v>7</v>
      </c>
      <c r="G265" s="24">
        <v>4.2</v>
      </c>
      <c r="H265" s="24">
        <v>0</v>
      </c>
      <c r="I265" s="24">
        <f>30.54-27.16</f>
        <v>3.379999999999999</v>
      </c>
      <c r="J265" s="24">
        <f>+I265+H265+G265+F265+E265+D265</f>
        <v>30.54</v>
      </c>
      <c r="K265" s="24" t="s">
        <v>475</v>
      </c>
      <c r="L265" s="25">
        <f>+J265</f>
        <v>30.54</v>
      </c>
    </row>
    <row r="266" spans="1:12">
      <c r="A266" s="26">
        <v>2</v>
      </c>
      <c r="B266" s="45">
        <v>200741810</v>
      </c>
      <c r="C266" s="60" t="s">
        <v>236</v>
      </c>
      <c r="D266" s="24">
        <v>2.8</v>
      </c>
      <c r="E266" s="24">
        <v>3.64</v>
      </c>
      <c r="F266" s="24">
        <v>2.94</v>
      </c>
      <c r="G266" s="24">
        <v>5.88</v>
      </c>
      <c r="H266" s="24">
        <v>0</v>
      </c>
      <c r="I266" s="24">
        <f>19.28-15.26</f>
        <v>4.0200000000000014</v>
      </c>
      <c r="J266" s="24">
        <f t="shared" ref="J266:J327" si="23">+I266+H266+G266+F266+E266+D266</f>
        <v>19.28</v>
      </c>
      <c r="K266" s="24" t="s">
        <v>475</v>
      </c>
      <c r="L266" s="25">
        <f t="shared" ref="L266:L268" si="24">+J266</f>
        <v>19.28</v>
      </c>
    </row>
    <row r="267" spans="1:12">
      <c r="A267" s="27">
        <v>3</v>
      </c>
      <c r="B267" s="45">
        <v>200741839</v>
      </c>
      <c r="C267" s="56" t="s">
        <v>237</v>
      </c>
      <c r="D267" s="24">
        <v>6.16</v>
      </c>
      <c r="E267" s="24">
        <v>5.04</v>
      </c>
      <c r="F267" s="24">
        <v>5.32</v>
      </c>
      <c r="G267" s="24">
        <v>4.4800000000000004</v>
      </c>
      <c r="H267" s="24">
        <v>3.5</v>
      </c>
      <c r="I267" s="24">
        <f>31.39-24.5</f>
        <v>6.8900000000000006</v>
      </c>
      <c r="J267" s="24">
        <f t="shared" si="23"/>
        <v>31.39</v>
      </c>
      <c r="K267" s="24" t="s">
        <v>475</v>
      </c>
      <c r="L267" s="25">
        <f t="shared" si="24"/>
        <v>31.39</v>
      </c>
    </row>
    <row r="268" spans="1:12">
      <c r="A268" s="26">
        <v>4</v>
      </c>
      <c r="B268" s="45">
        <v>200741850</v>
      </c>
      <c r="C268" s="56" t="s">
        <v>239</v>
      </c>
      <c r="D268" s="24">
        <v>4.2</v>
      </c>
      <c r="E268" s="24">
        <v>5.88</v>
      </c>
      <c r="F268" s="24">
        <v>5.32</v>
      </c>
      <c r="G268" s="24">
        <v>3.64</v>
      </c>
      <c r="H268" s="24">
        <v>0</v>
      </c>
      <c r="I268" s="24">
        <f>26.98-19.04</f>
        <v>7.9400000000000013</v>
      </c>
      <c r="J268" s="24">
        <f t="shared" si="23"/>
        <v>26.98</v>
      </c>
      <c r="K268" s="24" t="s">
        <v>475</v>
      </c>
      <c r="L268" s="25">
        <f t="shared" si="24"/>
        <v>26.98</v>
      </c>
    </row>
    <row r="269" spans="1:12">
      <c r="A269" s="26">
        <v>5</v>
      </c>
      <c r="B269" s="45">
        <v>200840073</v>
      </c>
      <c r="C269" s="56" t="s">
        <v>240</v>
      </c>
      <c r="D269" s="24">
        <v>9.1</v>
      </c>
      <c r="E269" s="24">
        <v>7.98</v>
      </c>
      <c r="F269" s="24">
        <v>11.34</v>
      </c>
      <c r="G269" s="24">
        <v>7.84</v>
      </c>
      <c r="H269" s="24">
        <v>7.7</v>
      </c>
      <c r="I269" s="24">
        <f>52.59-43.96</f>
        <v>8.6300000000000026</v>
      </c>
      <c r="J269" s="24">
        <f t="shared" si="23"/>
        <v>52.590000000000011</v>
      </c>
      <c r="K269" s="24">
        <v>8</v>
      </c>
      <c r="L269" s="25">
        <f t="shared" ref="L269:L324" si="25">+K269+J269</f>
        <v>60.590000000000011</v>
      </c>
    </row>
    <row r="270" spans="1:12">
      <c r="A270" s="26">
        <v>6</v>
      </c>
      <c r="B270" s="45">
        <v>200840076</v>
      </c>
      <c r="C270" s="56" t="s">
        <v>241</v>
      </c>
      <c r="D270" s="24">
        <v>6.02</v>
      </c>
      <c r="E270" s="24">
        <v>6.02</v>
      </c>
      <c r="F270" s="24">
        <v>9.3800000000000008</v>
      </c>
      <c r="G270" s="24">
        <v>6.16</v>
      </c>
      <c r="H270" s="24">
        <v>5.18</v>
      </c>
      <c r="I270" s="24">
        <f>41.18-32.76</f>
        <v>8.4200000000000017</v>
      </c>
      <c r="J270" s="24">
        <f t="shared" si="23"/>
        <v>41.179999999999993</v>
      </c>
      <c r="K270" s="24">
        <v>3.8</v>
      </c>
      <c r="L270" s="25">
        <f t="shared" si="25"/>
        <v>44.97999999999999</v>
      </c>
    </row>
    <row r="271" spans="1:12">
      <c r="A271" s="26">
        <v>7</v>
      </c>
      <c r="B271" s="45">
        <v>200840177</v>
      </c>
      <c r="C271" s="56" t="s">
        <v>242</v>
      </c>
      <c r="D271" s="24">
        <v>6.72</v>
      </c>
      <c r="E271" s="24">
        <v>6.02</v>
      </c>
      <c r="F271" s="24">
        <v>6.02</v>
      </c>
      <c r="G271" s="24">
        <v>4.4800000000000004</v>
      </c>
      <c r="H271" s="24">
        <v>4.34</v>
      </c>
      <c r="I271" s="24">
        <f>35.52-27.58</f>
        <v>7.9400000000000048</v>
      </c>
      <c r="J271" s="24">
        <f t="shared" si="23"/>
        <v>35.520000000000003</v>
      </c>
      <c r="K271" s="24" t="s">
        <v>475</v>
      </c>
      <c r="L271" s="25">
        <f>+J271</f>
        <v>35.520000000000003</v>
      </c>
    </row>
    <row r="272" spans="1:12">
      <c r="A272" s="26">
        <v>8</v>
      </c>
      <c r="B272" s="45">
        <v>200840205</v>
      </c>
      <c r="C272" s="60" t="s">
        <v>243</v>
      </c>
      <c r="D272" s="24">
        <v>5.88</v>
      </c>
      <c r="E272" s="24">
        <v>5.6</v>
      </c>
      <c r="F272" s="24">
        <v>7</v>
      </c>
      <c r="G272" s="24">
        <v>5.04</v>
      </c>
      <c r="H272" s="24">
        <v>10.18</v>
      </c>
      <c r="I272" s="24">
        <v>9.15</v>
      </c>
      <c r="J272" s="24">
        <f t="shared" si="23"/>
        <v>42.85</v>
      </c>
      <c r="K272" s="24">
        <v>4.2</v>
      </c>
      <c r="L272" s="25">
        <f>+K272+J272</f>
        <v>47.050000000000004</v>
      </c>
    </row>
    <row r="273" spans="1:12">
      <c r="A273" s="26">
        <v>9</v>
      </c>
      <c r="B273" s="45">
        <v>200840207</v>
      </c>
      <c r="C273" s="59" t="s">
        <v>244</v>
      </c>
      <c r="D273" s="24">
        <v>4.2</v>
      </c>
      <c r="E273" s="24">
        <v>7.7</v>
      </c>
      <c r="F273" s="24">
        <v>5.88</v>
      </c>
      <c r="G273" s="24">
        <v>5.04</v>
      </c>
      <c r="H273" s="24">
        <v>5.46</v>
      </c>
      <c r="I273" s="24">
        <f>36.51-28.28</f>
        <v>8.2299999999999969</v>
      </c>
      <c r="J273" s="24">
        <f t="shared" si="23"/>
        <v>36.51</v>
      </c>
      <c r="K273" s="24" t="s">
        <v>475</v>
      </c>
      <c r="L273" s="25">
        <f t="shared" ref="L273:L277" si="26">+J273</f>
        <v>36.51</v>
      </c>
    </row>
    <row r="274" spans="1:12">
      <c r="A274" s="26">
        <v>10</v>
      </c>
      <c r="B274" s="45">
        <v>200840223</v>
      </c>
      <c r="C274" s="56" t="s">
        <v>245</v>
      </c>
      <c r="D274" s="24">
        <v>3.5</v>
      </c>
      <c r="E274" s="24">
        <v>6.72</v>
      </c>
      <c r="F274" s="24">
        <v>0</v>
      </c>
      <c r="G274" s="24">
        <v>0</v>
      </c>
      <c r="H274" s="24">
        <v>0</v>
      </c>
      <c r="I274" s="24">
        <f>12.9-10.22</f>
        <v>2.6799999999999997</v>
      </c>
      <c r="J274" s="24">
        <f t="shared" si="23"/>
        <v>12.899999999999999</v>
      </c>
      <c r="K274" s="24" t="s">
        <v>475</v>
      </c>
      <c r="L274" s="25">
        <f t="shared" si="26"/>
        <v>12.899999999999999</v>
      </c>
    </row>
    <row r="275" spans="1:12">
      <c r="A275" s="26">
        <v>11</v>
      </c>
      <c r="B275" s="45">
        <v>200840255</v>
      </c>
      <c r="C275" s="56" t="s">
        <v>444</v>
      </c>
      <c r="D275" s="24">
        <v>1.54</v>
      </c>
      <c r="E275" s="24">
        <v>0</v>
      </c>
      <c r="F275" s="24">
        <v>0</v>
      </c>
      <c r="G275" s="24">
        <v>0</v>
      </c>
      <c r="H275" s="28">
        <v>0</v>
      </c>
      <c r="I275" s="28">
        <f>3.07-1.54</f>
        <v>1.5299999999999998</v>
      </c>
      <c r="J275" s="24">
        <f t="shared" si="23"/>
        <v>3.07</v>
      </c>
      <c r="K275" s="24" t="s">
        <v>475</v>
      </c>
      <c r="L275" s="25">
        <f t="shared" si="26"/>
        <v>3.07</v>
      </c>
    </row>
    <row r="276" spans="1:12">
      <c r="A276" s="26">
        <v>12</v>
      </c>
      <c r="B276" s="45">
        <v>200840267</v>
      </c>
      <c r="C276" s="56" t="s">
        <v>246</v>
      </c>
      <c r="D276" s="24">
        <v>3.5</v>
      </c>
      <c r="E276" s="24">
        <v>8.68</v>
      </c>
      <c r="F276" s="24">
        <v>6.16</v>
      </c>
      <c r="G276" s="24">
        <v>5.32</v>
      </c>
      <c r="H276" s="28">
        <v>5.18</v>
      </c>
      <c r="I276" s="28">
        <f>36.79-28.84</f>
        <v>7.9499999999999993</v>
      </c>
      <c r="J276" s="24">
        <f t="shared" si="23"/>
        <v>36.79</v>
      </c>
      <c r="K276" s="24" t="s">
        <v>475</v>
      </c>
      <c r="L276" s="25">
        <f t="shared" si="26"/>
        <v>36.79</v>
      </c>
    </row>
    <row r="277" spans="1:12">
      <c r="A277" s="26">
        <v>13</v>
      </c>
      <c r="B277" s="45">
        <v>200840270</v>
      </c>
      <c r="C277" s="56" t="s">
        <v>247</v>
      </c>
      <c r="D277" s="24">
        <v>5.74</v>
      </c>
      <c r="E277" s="24">
        <v>6.02</v>
      </c>
      <c r="F277" s="24">
        <v>8.82</v>
      </c>
      <c r="G277" s="24">
        <v>5.04</v>
      </c>
      <c r="H277" s="28">
        <v>4.2</v>
      </c>
      <c r="I277" s="28">
        <f>38.1-29.82</f>
        <v>8.2800000000000011</v>
      </c>
      <c r="J277" s="24">
        <f t="shared" si="23"/>
        <v>38.1</v>
      </c>
      <c r="K277" s="24" t="s">
        <v>475</v>
      </c>
      <c r="L277" s="25">
        <f t="shared" si="26"/>
        <v>38.1</v>
      </c>
    </row>
    <row r="278" spans="1:12">
      <c r="A278" s="23">
        <v>14</v>
      </c>
      <c r="B278" s="45">
        <v>200842067</v>
      </c>
      <c r="C278" s="60" t="s">
        <v>248</v>
      </c>
      <c r="D278" s="24">
        <v>8.5399999999999991</v>
      </c>
      <c r="E278" s="24">
        <v>11.06</v>
      </c>
      <c r="F278" s="24">
        <v>8.26</v>
      </c>
      <c r="G278" s="24">
        <v>8.68</v>
      </c>
      <c r="H278" s="28">
        <v>7.84</v>
      </c>
      <c r="I278" s="28">
        <f>52.97-44.38</f>
        <v>8.5899999999999963</v>
      </c>
      <c r="J278" s="24">
        <f t="shared" si="23"/>
        <v>52.97</v>
      </c>
      <c r="K278" s="24">
        <v>9.4</v>
      </c>
      <c r="L278" s="25">
        <f t="shared" si="25"/>
        <v>62.37</v>
      </c>
    </row>
    <row r="279" spans="1:12">
      <c r="A279" s="23">
        <v>15</v>
      </c>
      <c r="B279" s="45">
        <v>200842104</v>
      </c>
      <c r="C279" s="56" t="s">
        <v>250</v>
      </c>
      <c r="D279" s="24">
        <v>2.94</v>
      </c>
      <c r="E279" s="24">
        <v>5.32</v>
      </c>
      <c r="F279" s="24">
        <v>4.4800000000000004</v>
      </c>
      <c r="G279" s="24">
        <v>4.76</v>
      </c>
      <c r="H279" s="24">
        <v>4.62</v>
      </c>
      <c r="I279" s="24">
        <f>30.01-22.12</f>
        <v>7.8900000000000006</v>
      </c>
      <c r="J279" s="24">
        <f t="shared" si="23"/>
        <v>30.010000000000005</v>
      </c>
      <c r="K279" s="24" t="s">
        <v>475</v>
      </c>
      <c r="L279" s="25">
        <f>+J279</f>
        <v>30.010000000000005</v>
      </c>
    </row>
    <row r="280" spans="1:12">
      <c r="A280" s="23">
        <v>16</v>
      </c>
      <c r="B280" s="45">
        <v>200842109</v>
      </c>
      <c r="C280" s="60" t="s">
        <v>251</v>
      </c>
      <c r="D280" s="24">
        <v>2.94</v>
      </c>
      <c r="E280" s="24">
        <v>4.76</v>
      </c>
      <c r="F280" s="24">
        <v>5.04</v>
      </c>
      <c r="G280" s="24">
        <v>5.04</v>
      </c>
      <c r="H280" s="24">
        <v>3.22</v>
      </c>
      <c r="I280" s="24">
        <f>28.78-21</f>
        <v>7.7800000000000011</v>
      </c>
      <c r="J280" s="24">
        <f t="shared" si="23"/>
        <v>28.780000000000005</v>
      </c>
      <c r="K280" s="24" t="s">
        <v>475</v>
      </c>
      <c r="L280" s="25">
        <f t="shared" ref="L280:L285" si="27">+J280</f>
        <v>28.780000000000005</v>
      </c>
    </row>
    <row r="281" spans="1:12">
      <c r="A281" s="23">
        <v>17</v>
      </c>
      <c r="B281" s="45">
        <v>200842115</v>
      </c>
      <c r="C281" s="56" t="s">
        <v>253</v>
      </c>
      <c r="D281" s="24">
        <v>2.94</v>
      </c>
      <c r="E281" s="24">
        <v>5.04</v>
      </c>
      <c r="F281" s="24">
        <v>6.16</v>
      </c>
      <c r="G281" s="24">
        <v>5.32</v>
      </c>
      <c r="H281" s="24">
        <v>4.4800000000000004</v>
      </c>
      <c r="I281" s="24">
        <f>32.01-23.94</f>
        <v>8.0699999999999967</v>
      </c>
      <c r="J281" s="24">
        <f t="shared" si="23"/>
        <v>32.01</v>
      </c>
      <c r="K281" s="24" t="s">
        <v>475</v>
      </c>
      <c r="L281" s="25">
        <f t="shared" si="27"/>
        <v>32.01</v>
      </c>
    </row>
    <row r="282" spans="1:12">
      <c r="A282" s="27">
        <v>18</v>
      </c>
      <c r="B282" s="45">
        <v>200842125</v>
      </c>
      <c r="C282" s="56" t="s">
        <v>254</v>
      </c>
      <c r="D282" s="24">
        <v>3.92</v>
      </c>
      <c r="E282" s="24">
        <v>6.3</v>
      </c>
      <c r="F282" s="24">
        <v>0</v>
      </c>
      <c r="G282" s="24">
        <v>0</v>
      </c>
      <c r="H282" s="24">
        <v>0</v>
      </c>
      <c r="I282" s="24">
        <f>11.9-10.22</f>
        <v>1.6799999999999997</v>
      </c>
      <c r="J282" s="24">
        <f t="shared" si="23"/>
        <v>11.899999999999999</v>
      </c>
      <c r="K282" s="24" t="s">
        <v>475</v>
      </c>
      <c r="L282" s="25">
        <f t="shared" si="27"/>
        <v>11.899999999999999</v>
      </c>
    </row>
    <row r="283" spans="1:12">
      <c r="A283" s="27">
        <v>19</v>
      </c>
      <c r="B283" s="45">
        <v>200842134</v>
      </c>
      <c r="C283" s="56" t="s">
        <v>255</v>
      </c>
      <c r="D283" s="24">
        <v>2.94</v>
      </c>
      <c r="E283" s="24">
        <v>3.78</v>
      </c>
      <c r="F283" s="24">
        <v>5.04</v>
      </c>
      <c r="G283" s="24">
        <v>3.92</v>
      </c>
      <c r="H283" s="24">
        <v>2.52</v>
      </c>
      <c r="I283" s="24">
        <f>25.94-18.2</f>
        <v>7.740000000000002</v>
      </c>
      <c r="J283" s="24">
        <f t="shared" si="23"/>
        <v>25.940000000000005</v>
      </c>
      <c r="K283" s="24" t="s">
        <v>475</v>
      </c>
      <c r="L283" s="25">
        <f t="shared" si="27"/>
        <v>25.940000000000005</v>
      </c>
    </row>
    <row r="284" spans="1:12">
      <c r="A284" s="27">
        <v>20</v>
      </c>
      <c r="B284" s="45">
        <v>200842427</v>
      </c>
      <c r="C284" s="56" t="s">
        <v>256</v>
      </c>
      <c r="D284" s="24">
        <v>6.3</v>
      </c>
      <c r="E284" s="24">
        <v>10.36</v>
      </c>
      <c r="F284" s="24">
        <v>6.3</v>
      </c>
      <c r="G284" s="24">
        <v>6.44</v>
      </c>
      <c r="H284" s="24">
        <v>0</v>
      </c>
      <c r="I284" s="24">
        <f>37.63-29.4</f>
        <v>8.230000000000004</v>
      </c>
      <c r="J284" s="24">
        <f t="shared" si="23"/>
        <v>37.630000000000003</v>
      </c>
      <c r="K284" s="24" t="s">
        <v>475</v>
      </c>
      <c r="L284" s="25">
        <f t="shared" si="27"/>
        <v>37.630000000000003</v>
      </c>
    </row>
    <row r="285" spans="1:12">
      <c r="A285" s="27">
        <v>21</v>
      </c>
      <c r="B285" s="45">
        <v>200842447</v>
      </c>
      <c r="C285" s="56" t="s">
        <v>258</v>
      </c>
      <c r="D285" s="24">
        <v>7.14</v>
      </c>
      <c r="E285" s="24">
        <v>4.62</v>
      </c>
      <c r="F285" s="24">
        <v>5.6</v>
      </c>
      <c r="G285" s="24">
        <v>5.88</v>
      </c>
      <c r="H285" s="24">
        <v>4.9000000000000004</v>
      </c>
      <c r="I285" s="24">
        <f>34.88-28.14</f>
        <v>6.740000000000002</v>
      </c>
      <c r="J285" s="24">
        <f t="shared" si="23"/>
        <v>34.880000000000003</v>
      </c>
      <c r="K285" s="24" t="s">
        <v>475</v>
      </c>
      <c r="L285" s="25">
        <f t="shared" si="27"/>
        <v>34.880000000000003</v>
      </c>
    </row>
    <row r="286" spans="1:12">
      <c r="A286" s="27">
        <v>22</v>
      </c>
      <c r="B286" s="45">
        <v>200842674</v>
      </c>
      <c r="C286" s="60" t="s">
        <v>259</v>
      </c>
      <c r="D286" s="24">
        <v>6.3</v>
      </c>
      <c r="E286" s="24">
        <v>9.1</v>
      </c>
      <c r="F286" s="24">
        <v>8.68</v>
      </c>
      <c r="G286" s="24">
        <v>6.16</v>
      </c>
      <c r="H286" s="24">
        <v>5.6</v>
      </c>
      <c r="I286" s="24">
        <f>43.91-35.84</f>
        <v>8.0699999999999932</v>
      </c>
      <c r="J286" s="24">
        <f t="shared" si="23"/>
        <v>43.909999999999989</v>
      </c>
      <c r="K286" s="24" t="s">
        <v>476</v>
      </c>
      <c r="L286" s="25">
        <v>43.91</v>
      </c>
    </row>
    <row r="287" spans="1:12">
      <c r="A287" s="27">
        <v>23</v>
      </c>
      <c r="B287" s="45">
        <v>200843791</v>
      </c>
      <c r="C287" s="56" t="s">
        <v>260</v>
      </c>
      <c r="D287" s="24">
        <v>6.72</v>
      </c>
      <c r="E287" s="24">
        <v>8.5399999999999991</v>
      </c>
      <c r="F287" s="24">
        <v>8.68</v>
      </c>
      <c r="G287" s="24">
        <v>6.72</v>
      </c>
      <c r="H287" s="24">
        <v>6.58</v>
      </c>
      <c r="I287" s="24">
        <f>46.3-37.24</f>
        <v>9.0599999999999952</v>
      </c>
      <c r="J287" s="24">
        <f t="shared" si="23"/>
        <v>46.3</v>
      </c>
      <c r="K287" s="24">
        <v>7</v>
      </c>
      <c r="L287" s="25">
        <f t="shared" si="25"/>
        <v>53.3</v>
      </c>
    </row>
    <row r="288" spans="1:12">
      <c r="A288" s="27">
        <v>24</v>
      </c>
      <c r="B288" s="45">
        <v>200940321</v>
      </c>
      <c r="C288" s="58" t="s">
        <v>261</v>
      </c>
      <c r="D288" s="24">
        <v>2.2400000000000002</v>
      </c>
      <c r="E288" s="24">
        <v>4.76</v>
      </c>
      <c r="F288" s="24">
        <v>3.78</v>
      </c>
      <c r="G288" s="24">
        <v>4.2</v>
      </c>
      <c r="H288" s="24">
        <v>0</v>
      </c>
      <c r="I288" s="24">
        <f>21-14.98</f>
        <v>6.02</v>
      </c>
      <c r="J288" s="24">
        <f t="shared" si="23"/>
        <v>21</v>
      </c>
      <c r="K288" s="24" t="s">
        <v>475</v>
      </c>
      <c r="L288" s="25">
        <f>+J288</f>
        <v>21</v>
      </c>
    </row>
    <row r="289" spans="1:12">
      <c r="A289" s="27">
        <v>25</v>
      </c>
      <c r="B289" s="57">
        <v>200940333</v>
      </c>
      <c r="C289" s="56" t="s">
        <v>262</v>
      </c>
      <c r="D289" s="24">
        <v>10.36</v>
      </c>
      <c r="E289" s="24">
        <v>12.04</v>
      </c>
      <c r="F289" s="24">
        <v>10.36</v>
      </c>
      <c r="G289" s="24">
        <v>8.4</v>
      </c>
      <c r="H289" s="24">
        <v>7.84</v>
      </c>
      <c r="I289" s="24">
        <f>57.67-49</f>
        <v>8.6700000000000017</v>
      </c>
      <c r="J289" s="24">
        <f t="shared" si="23"/>
        <v>57.67</v>
      </c>
      <c r="K289" s="24">
        <v>7.2</v>
      </c>
      <c r="L289" s="25">
        <f t="shared" si="25"/>
        <v>64.87</v>
      </c>
    </row>
    <row r="290" spans="1:12">
      <c r="A290" s="27">
        <v>26</v>
      </c>
      <c r="B290" s="45">
        <v>200940343</v>
      </c>
      <c r="C290" s="58" t="s">
        <v>263</v>
      </c>
      <c r="D290" s="24">
        <v>4.2</v>
      </c>
      <c r="E290" s="24">
        <v>9.24</v>
      </c>
      <c r="F290" s="24">
        <v>6.72</v>
      </c>
      <c r="G290" s="24">
        <v>6.44</v>
      </c>
      <c r="H290" s="24">
        <v>9.3800000000000008</v>
      </c>
      <c r="I290" s="24">
        <f>44.66-35.98</f>
        <v>8.68</v>
      </c>
      <c r="J290" s="24">
        <f t="shared" si="23"/>
        <v>44.660000000000004</v>
      </c>
      <c r="K290" s="24">
        <v>5.4</v>
      </c>
      <c r="L290" s="25">
        <f t="shared" si="25"/>
        <v>50.06</v>
      </c>
    </row>
    <row r="291" spans="1:12">
      <c r="A291" s="27">
        <v>27</v>
      </c>
      <c r="B291" s="45">
        <v>200940354</v>
      </c>
      <c r="C291" s="56" t="s">
        <v>264</v>
      </c>
      <c r="D291" s="24">
        <v>3.5</v>
      </c>
      <c r="E291" s="24">
        <v>6.3</v>
      </c>
      <c r="F291" s="24">
        <v>8.82</v>
      </c>
      <c r="G291" s="24">
        <v>5.04</v>
      </c>
      <c r="H291" s="24">
        <v>10.48</v>
      </c>
      <c r="I291" s="24">
        <f>41.52-32.34</f>
        <v>9.18</v>
      </c>
      <c r="J291" s="24">
        <f t="shared" si="23"/>
        <v>43.319999999999993</v>
      </c>
      <c r="K291" s="24">
        <v>4</v>
      </c>
      <c r="L291" s="25">
        <f t="shared" si="25"/>
        <v>47.319999999999993</v>
      </c>
    </row>
    <row r="292" spans="1:12">
      <c r="A292" s="27">
        <v>28</v>
      </c>
      <c r="B292" s="45">
        <v>200940364</v>
      </c>
      <c r="C292" s="60" t="s">
        <v>265</v>
      </c>
      <c r="D292" s="24">
        <v>2.94</v>
      </c>
      <c r="E292" s="24">
        <v>10.08</v>
      </c>
      <c r="F292" s="24">
        <v>6.02</v>
      </c>
      <c r="G292" s="24">
        <v>3.36</v>
      </c>
      <c r="H292" s="24">
        <v>1.1200000000000001</v>
      </c>
      <c r="I292" s="24">
        <f>31.43-23.52</f>
        <v>7.91</v>
      </c>
      <c r="J292" s="24">
        <f t="shared" si="23"/>
        <v>31.430000000000003</v>
      </c>
      <c r="K292" s="24" t="s">
        <v>475</v>
      </c>
      <c r="L292" s="25">
        <f>+J292</f>
        <v>31.430000000000003</v>
      </c>
    </row>
    <row r="293" spans="1:12">
      <c r="A293" s="27">
        <v>29</v>
      </c>
      <c r="B293" s="45">
        <v>200940366</v>
      </c>
      <c r="C293" s="56" t="s">
        <v>266</v>
      </c>
      <c r="D293" s="24">
        <v>4.2</v>
      </c>
      <c r="E293" s="24">
        <v>7.14</v>
      </c>
      <c r="F293" s="24">
        <v>9.3800000000000008</v>
      </c>
      <c r="G293" s="24">
        <v>7.7</v>
      </c>
      <c r="H293" s="24">
        <v>8.26</v>
      </c>
      <c r="I293" s="24">
        <f>45.13-36.68</f>
        <v>8.4500000000000028</v>
      </c>
      <c r="J293" s="24">
        <f t="shared" si="23"/>
        <v>45.13</v>
      </c>
      <c r="K293" s="24">
        <v>14.4</v>
      </c>
      <c r="L293" s="25">
        <f t="shared" si="25"/>
        <v>59.53</v>
      </c>
    </row>
    <row r="294" spans="1:12">
      <c r="A294" s="27">
        <v>30</v>
      </c>
      <c r="B294" s="45">
        <v>200940367</v>
      </c>
      <c r="C294" s="56" t="s">
        <v>267</v>
      </c>
      <c r="D294" s="24">
        <v>6.86</v>
      </c>
      <c r="E294" s="24">
        <v>2.8</v>
      </c>
      <c r="F294" s="24">
        <v>9.66</v>
      </c>
      <c r="G294" s="24">
        <v>5.88</v>
      </c>
      <c r="H294" s="24">
        <v>7.7</v>
      </c>
      <c r="I294" s="24">
        <f>41.29-32.9</f>
        <v>8.39</v>
      </c>
      <c r="J294" s="24">
        <f t="shared" si="23"/>
        <v>41.29</v>
      </c>
      <c r="K294" s="24">
        <v>1.2</v>
      </c>
      <c r="L294" s="25">
        <f t="shared" si="25"/>
        <v>42.49</v>
      </c>
    </row>
    <row r="295" spans="1:12">
      <c r="A295" s="27">
        <v>31</v>
      </c>
      <c r="B295" s="45">
        <v>200940368</v>
      </c>
      <c r="C295" s="56" t="s">
        <v>268</v>
      </c>
      <c r="D295" s="24">
        <v>10.5</v>
      </c>
      <c r="E295" s="24">
        <v>12.74</v>
      </c>
      <c r="F295" s="24">
        <v>9.94</v>
      </c>
      <c r="G295" s="24">
        <v>8.9600000000000009</v>
      </c>
      <c r="H295" s="24">
        <v>7.56</v>
      </c>
      <c r="I295" s="24">
        <f>58.62-49.7</f>
        <v>8.9199999999999946</v>
      </c>
      <c r="J295" s="24">
        <f t="shared" si="23"/>
        <v>58.62</v>
      </c>
      <c r="K295" s="24">
        <v>15</v>
      </c>
      <c r="L295" s="25">
        <f t="shared" si="25"/>
        <v>73.62</v>
      </c>
    </row>
    <row r="296" spans="1:12">
      <c r="A296" s="27">
        <v>32</v>
      </c>
      <c r="B296" s="45">
        <v>200940370</v>
      </c>
      <c r="C296" s="58" t="s">
        <v>269</v>
      </c>
      <c r="D296" s="24">
        <v>4.2</v>
      </c>
      <c r="E296" s="24">
        <v>9.52</v>
      </c>
      <c r="F296" s="24">
        <v>6.16</v>
      </c>
      <c r="G296" s="24">
        <v>5.04</v>
      </c>
      <c r="H296" s="24">
        <v>9.24</v>
      </c>
      <c r="I296" s="24">
        <f>42.34-32.76</f>
        <v>9.5800000000000054</v>
      </c>
      <c r="J296" s="24">
        <f t="shared" si="23"/>
        <v>43.740000000000009</v>
      </c>
      <c r="K296" s="24">
        <v>5</v>
      </c>
      <c r="L296" s="25">
        <f t="shared" si="25"/>
        <v>48.740000000000009</v>
      </c>
    </row>
    <row r="297" spans="1:12">
      <c r="A297" s="27">
        <v>33</v>
      </c>
      <c r="B297" s="57">
        <v>200940431</v>
      </c>
      <c r="C297" s="60" t="s">
        <v>270</v>
      </c>
      <c r="D297" s="24">
        <v>8.5399999999999991</v>
      </c>
      <c r="E297" s="24">
        <v>9.52</v>
      </c>
      <c r="F297" s="24">
        <v>5.88</v>
      </c>
      <c r="G297" s="24">
        <v>5.6</v>
      </c>
      <c r="H297" s="24">
        <v>6.02</v>
      </c>
      <c r="I297" s="24">
        <f>44.02-35.56</f>
        <v>8.4600000000000009</v>
      </c>
      <c r="J297" s="24">
        <f t="shared" si="23"/>
        <v>44.019999999999996</v>
      </c>
      <c r="K297" s="24">
        <v>7.6</v>
      </c>
      <c r="L297" s="25">
        <f t="shared" si="25"/>
        <v>51.62</v>
      </c>
    </row>
    <row r="298" spans="1:12">
      <c r="A298" s="27">
        <v>34</v>
      </c>
      <c r="B298" s="45">
        <v>200940435</v>
      </c>
      <c r="C298" s="60" t="s">
        <v>271</v>
      </c>
      <c r="D298" s="24">
        <v>6.58</v>
      </c>
      <c r="E298" s="24">
        <v>7.84</v>
      </c>
      <c r="F298" s="24">
        <v>7.28</v>
      </c>
      <c r="G298" s="24">
        <v>4.76</v>
      </c>
      <c r="H298" s="24">
        <v>6.44</v>
      </c>
      <c r="I298" s="24">
        <f>41.4-32.9</f>
        <v>8.5</v>
      </c>
      <c r="J298" s="24">
        <f t="shared" si="23"/>
        <v>41.400000000000006</v>
      </c>
      <c r="K298" s="24">
        <v>2.2000000000000002</v>
      </c>
      <c r="L298" s="25">
        <f t="shared" si="25"/>
        <v>43.600000000000009</v>
      </c>
    </row>
    <row r="299" spans="1:12">
      <c r="A299" s="27">
        <v>35</v>
      </c>
      <c r="B299" s="57">
        <v>200940488</v>
      </c>
      <c r="C299" s="60" t="s">
        <v>272</v>
      </c>
      <c r="D299" s="24">
        <v>6.86</v>
      </c>
      <c r="E299" s="24">
        <v>7.42</v>
      </c>
      <c r="F299" s="24">
        <v>7</v>
      </c>
      <c r="G299" s="24">
        <v>5.32</v>
      </c>
      <c r="H299" s="24">
        <v>9.1</v>
      </c>
      <c r="I299" s="24">
        <f>49.02-35.7</f>
        <v>13.32</v>
      </c>
      <c r="J299" s="24">
        <f t="shared" si="23"/>
        <v>49.02</v>
      </c>
      <c r="K299" s="24">
        <v>3.2</v>
      </c>
      <c r="L299" s="25">
        <f t="shared" si="25"/>
        <v>52.220000000000006</v>
      </c>
    </row>
    <row r="300" spans="1:12">
      <c r="A300" s="27">
        <v>36</v>
      </c>
      <c r="B300" s="57">
        <v>200940494</v>
      </c>
      <c r="C300" s="60" t="s">
        <v>273</v>
      </c>
      <c r="D300" s="24">
        <v>9.24</v>
      </c>
      <c r="E300" s="24">
        <v>8.26</v>
      </c>
      <c r="F300" s="24">
        <v>7.28</v>
      </c>
      <c r="G300" s="24">
        <v>6.16</v>
      </c>
      <c r="H300" s="24">
        <v>5.88</v>
      </c>
      <c r="I300" s="24">
        <f>41.09-36.82</f>
        <v>4.2700000000000031</v>
      </c>
      <c r="J300" s="24">
        <f t="shared" si="23"/>
        <v>41.09</v>
      </c>
      <c r="K300" s="24">
        <v>6.4</v>
      </c>
      <c r="L300" s="25">
        <f t="shared" si="25"/>
        <v>47.49</v>
      </c>
    </row>
    <row r="301" spans="1:12">
      <c r="A301" s="27">
        <v>37</v>
      </c>
      <c r="B301" s="45">
        <v>200940495</v>
      </c>
      <c r="C301" s="56" t="s">
        <v>274</v>
      </c>
      <c r="D301" s="24">
        <v>4.2</v>
      </c>
      <c r="E301" s="24">
        <v>2.94</v>
      </c>
      <c r="F301" s="24">
        <v>8.5399999999999991</v>
      </c>
      <c r="G301" s="24">
        <v>5.6</v>
      </c>
      <c r="H301" s="24">
        <v>0</v>
      </c>
      <c r="I301" s="24">
        <f>27.96-21.28</f>
        <v>6.68</v>
      </c>
      <c r="J301" s="24">
        <f t="shared" si="23"/>
        <v>27.96</v>
      </c>
      <c r="K301" s="24" t="s">
        <v>475</v>
      </c>
      <c r="L301" s="25">
        <f>+J301</f>
        <v>27.96</v>
      </c>
    </row>
    <row r="302" spans="1:12">
      <c r="A302" s="27">
        <v>38</v>
      </c>
      <c r="B302" s="57">
        <v>200940497</v>
      </c>
      <c r="C302" s="56" t="s">
        <v>275</v>
      </c>
      <c r="D302" s="24">
        <v>2.94</v>
      </c>
      <c r="E302" s="24">
        <v>5.74</v>
      </c>
      <c r="F302" s="24">
        <v>5.74</v>
      </c>
      <c r="G302" s="24">
        <v>2.52</v>
      </c>
      <c r="H302" s="24">
        <v>0</v>
      </c>
      <c r="I302" s="24">
        <f>21.52-16.94</f>
        <v>4.5799999999999983</v>
      </c>
      <c r="J302" s="24">
        <f t="shared" si="23"/>
        <v>21.52</v>
      </c>
      <c r="K302" s="24" t="s">
        <v>475</v>
      </c>
      <c r="L302" s="25">
        <f>+J302</f>
        <v>21.52</v>
      </c>
    </row>
    <row r="303" spans="1:12">
      <c r="A303" s="27">
        <v>39</v>
      </c>
      <c r="B303" s="45">
        <v>200940507</v>
      </c>
      <c r="C303" s="58" t="s">
        <v>276</v>
      </c>
      <c r="D303" s="24">
        <v>7.84</v>
      </c>
      <c r="E303" s="24">
        <v>7.84</v>
      </c>
      <c r="F303" s="24">
        <v>9.94</v>
      </c>
      <c r="G303" s="24">
        <v>8.68</v>
      </c>
      <c r="H303" s="24">
        <v>6.3</v>
      </c>
      <c r="I303" s="24">
        <f>49.14-40.6</f>
        <v>8.5399999999999991</v>
      </c>
      <c r="J303" s="24">
        <f t="shared" si="23"/>
        <v>49.14</v>
      </c>
      <c r="K303" s="24">
        <v>8</v>
      </c>
      <c r="L303" s="25">
        <f t="shared" si="25"/>
        <v>57.14</v>
      </c>
    </row>
    <row r="304" spans="1:12">
      <c r="A304" s="27">
        <v>40</v>
      </c>
      <c r="B304" s="45">
        <v>200940508</v>
      </c>
      <c r="C304" s="60" t="s">
        <v>277</v>
      </c>
      <c r="D304" s="24">
        <v>2.94</v>
      </c>
      <c r="E304" s="24">
        <v>5.6</v>
      </c>
      <c r="F304" s="24">
        <v>6.3</v>
      </c>
      <c r="G304" s="24">
        <v>5.6</v>
      </c>
      <c r="H304" s="24">
        <v>2.8</v>
      </c>
      <c r="I304" s="24">
        <f>31.32-23.24</f>
        <v>8.0800000000000018</v>
      </c>
      <c r="J304" s="24">
        <f t="shared" si="23"/>
        <v>31.320000000000004</v>
      </c>
      <c r="K304" s="24" t="s">
        <v>475</v>
      </c>
      <c r="L304" s="25">
        <f>+J304</f>
        <v>31.320000000000004</v>
      </c>
    </row>
    <row r="305" spans="1:12">
      <c r="A305" s="27">
        <v>41</v>
      </c>
      <c r="B305" s="45">
        <v>200940529</v>
      </c>
      <c r="C305" s="56" t="s">
        <v>278</v>
      </c>
      <c r="D305" s="24">
        <v>10.36</v>
      </c>
      <c r="E305" s="24">
        <v>12.32</v>
      </c>
      <c r="F305" s="24">
        <v>10.36</v>
      </c>
      <c r="G305" s="24">
        <v>10.64</v>
      </c>
      <c r="H305" s="24">
        <v>9.94</v>
      </c>
      <c r="I305" s="24">
        <f>62.55-53.62</f>
        <v>8.93</v>
      </c>
      <c r="J305" s="24">
        <f t="shared" si="23"/>
        <v>62.55</v>
      </c>
      <c r="K305" s="24">
        <v>16</v>
      </c>
      <c r="L305" s="25">
        <f t="shared" si="25"/>
        <v>78.55</v>
      </c>
    </row>
    <row r="306" spans="1:12">
      <c r="A306" s="27">
        <v>42</v>
      </c>
      <c r="B306" s="45">
        <v>200940533</v>
      </c>
      <c r="C306" s="56" t="s">
        <v>279</v>
      </c>
      <c r="D306" s="24">
        <v>2.2400000000000002</v>
      </c>
      <c r="E306" s="24">
        <v>2.38</v>
      </c>
      <c r="F306" s="24">
        <v>0</v>
      </c>
      <c r="G306" s="24">
        <v>0</v>
      </c>
      <c r="H306" s="24">
        <v>0</v>
      </c>
      <c r="I306" s="24">
        <f>7.2-4.62</f>
        <v>2.58</v>
      </c>
      <c r="J306" s="24">
        <f t="shared" si="23"/>
        <v>7.2</v>
      </c>
      <c r="K306" s="24" t="s">
        <v>475</v>
      </c>
      <c r="L306" s="25">
        <f>+J306</f>
        <v>7.2</v>
      </c>
    </row>
    <row r="307" spans="1:12">
      <c r="A307" s="27">
        <v>43</v>
      </c>
      <c r="B307" s="57">
        <v>200941310</v>
      </c>
      <c r="C307" s="56" t="s">
        <v>280</v>
      </c>
      <c r="D307" s="24">
        <v>5.6</v>
      </c>
      <c r="E307" s="24">
        <v>7.84</v>
      </c>
      <c r="F307" s="24">
        <v>5.6</v>
      </c>
      <c r="G307" s="24">
        <v>5.04</v>
      </c>
      <c r="H307" s="24">
        <v>8.68</v>
      </c>
      <c r="I307" s="24">
        <f>41.23-32.76</f>
        <v>8.4699999999999989</v>
      </c>
      <c r="J307" s="24">
        <f t="shared" si="23"/>
        <v>41.23</v>
      </c>
      <c r="K307" s="24">
        <v>4.2</v>
      </c>
      <c r="L307" s="25">
        <f t="shared" si="25"/>
        <v>45.43</v>
      </c>
    </row>
    <row r="308" spans="1:12">
      <c r="A308" s="27">
        <v>44</v>
      </c>
      <c r="B308" s="45">
        <v>200941429</v>
      </c>
      <c r="C308" s="56" t="s">
        <v>281</v>
      </c>
      <c r="D308" s="24">
        <v>4.0599999999999996</v>
      </c>
      <c r="E308" s="24">
        <v>5.04</v>
      </c>
      <c r="F308" s="24">
        <v>7.98</v>
      </c>
      <c r="G308" s="24">
        <v>4.4800000000000004</v>
      </c>
      <c r="H308" s="24">
        <v>4.34</v>
      </c>
      <c r="I308" s="24">
        <f>34.01-25.9</f>
        <v>8.11</v>
      </c>
      <c r="J308" s="24">
        <f t="shared" si="23"/>
        <v>34.01</v>
      </c>
      <c r="K308" s="24" t="s">
        <v>475</v>
      </c>
      <c r="L308" s="25">
        <f>+J308</f>
        <v>34.01</v>
      </c>
    </row>
    <row r="309" spans="1:12">
      <c r="A309" s="27">
        <v>45</v>
      </c>
      <c r="B309" s="45">
        <v>200941431</v>
      </c>
      <c r="C309" s="56" t="s">
        <v>282</v>
      </c>
      <c r="D309" s="24">
        <v>2.94</v>
      </c>
      <c r="E309" s="24">
        <v>7.42</v>
      </c>
      <c r="F309" s="24">
        <v>7.14</v>
      </c>
      <c r="G309" s="24">
        <v>5.88</v>
      </c>
      <c r="H309" s="24">
        <v>7.28</v>
      </c>
      <c r="I309" s="24">
        <f>37.56-30.66</f>
        <v>6.9000000000000021</v>
      </c>
      <c r="J309" s="24">
        <f t="shared" si="23"/>
        <v>37.56</v>
      </c>
      <c r="K309" s="24" t="s">
        <v>475</v>
      </c>
      <c r="L309" s="25">
        <f t="shared" ref="L309:L323" si="28">+J309</f>
        <v>37.56</v>
      </c>
    </row>
    <row r="310" spans="1:12">
      <c r="A310" s="27">
        <v>46</v>
      </c>
      <c r="B310" s="45">
        <v>200942148</v>
      </c>
      <c r="C310" s="60" t="s">
        <v>283</v>
      </c>
      <c r="D310" s="24">
        <v>5.32</v>
      </c>
      <c r="E310" s="24">
        <v>4.9000000000000004</v>
      </c>
      <c r="F310" s="24">
        <v>8.26</v>
      </c>
      <c r="G310" s="24">
        <v>5.88</v>
      </c>
      <c r="H310" s="24">
        <v>5.88</v>
      </c>
      <c r="I310" s="24">
        <f>37.95-30.24</f>
        <v>7.7100000000000044</v>
      </c>
      <c r="J310" s="24">
        <f t="shared" si="23"/>
        <v>37.950000000000003</v>
      </c>
      <c r="K310" s="24" t="s">
        <v>475</v>
      </c>
      <c r="L310" s="25">
        <f t="shared" si="28"/>
        <v>37.950000000000003</v>
      </c>
    </row>
    <row r="311" spans="1:12">
      <c r="A311" s="27">
        <v>47</v>
      </c>
      <c r="B311" s="45">
        <v>200942756</v>
      </c>
      <c r="C311" s="56" t="s">
        <v>284</v>
      </c>
      <c r="D311" s="24">
        <v>2.94</v>
      </c>
      <c r="E311" s="24">
        <v>4.62</v>
      </c>
      <c r="F311" s="24">
        <v>4.2</v>
      </c>
      <c r="G311" s="24">
        <v>0</v>
      </c>
      <c r="H311" s="24">
        <v>0</v>
      </c>
      <c r="I311" s="24">
        <f>13.47-11.76</f>
        <v>1.7100000000000009</v>
      </c>
      <c r="J311" s="24">
        <f t="shared" si="23"/>
        <v>13.47</v>
      </c>
      <c r="K311" s="24" t="s">
        <v>475</v>
      </c>
      <c r="L311" s="25">
        <f t="shared" si="28"/>
        <v>13.47</v>
      </c>
    </row>
    <row r="312" spans="1:12">
      <c r="A312" s="27">
        <v>48</v>
      </c>
      <c r="B312" s="57">
        <v>200942839</v>
      </c>
      <c r="C312" s="58" t="s">
        <v>285</v>
      </c>
      <c r="D312" s="24">
        <v>1.54</v>
      </c>
      <c r="E312" s="24">
        <v>2.66</v>
      </c>
      <c r="F312" s="24">
        <v>3.78</v>
      </c>
      <c r="G312" s="24">
        <v>3.64</v>
      </c>
      <c r="H312" s="24">
        <v>0</v>
      </c>
      <c r="I312" s="24">
        <f>19.49-11.62</f>
        <v>7.8699999999999992</v>
      </c>
      <c r="J312" s="24">
        <f t="shared" si="23"/>
        <v>19.489999999999998</v>
      </c>
      <c r="K312" s="24" t="s">
        <v>475</v>
      </c>
      <c r="L312" s="25">
        <f t="shared" si="28"/>
        <v>19.489999999999998</v>
      </c>
    </row>
    <row r="313" spans="1:12">
      <c r="A313" s="27">
        <v>49</v>
      </c>
      <c r="B313" s="45">
        <v>200942841</v>
      </c>
      <c r="C313" s="56" t="s">
        <v>286</v>
      </c>
      <c r="D313" s="24">
        <v>7.56</v>
      </c>
      <c r="E313" s="24">
        <v>7.56</v>
      </c>
      <c r="F313" s="24">
        <v>6.16</v>
      </c>
      <c r="G313" s="24">
        <v>2.8</v>
      </c>
      <c r="H313" s="24">
        <v>4.62</v>
      </c>
      <c r="I313" s="24">
        <f>37.15-28.7</f>
        <v>8.4499999999999993</v>
      </c>
      <c r="J313" s="24">
        <f t="shared" si="23"/>
        <v>37.15</v>
      </c>
      <c r="K313" s="24" t="s">
        <v>475</v>
      </c>
      <c r="L313" s="25">
        <f t="shared" si="28"/>
        <v>37.15</v>
      </c>
    </row>
    <row r="314" spans="1:12">
      <c r="A314" s="27">
        <v>50</v>
      </c>
      <c r="B314" s="45">
        <v>200943124</v>
      </c>
      <c r="C314" s="59" t="s">
        <v>364</v>
      </c>
      <c r="D314" s="24">
        <v>2.8</v>
      </c>
      <c r="E314" s="24">
        <v>10.220000000000001</v>
      </c>
      <c r="F314" s="24">
        <v>7.28</v>
      </c>
      <c r="G314" s="24">
        <v>6.16</v>
      </c>
      <c r="H314" s="24">
        <v>5.74</v>
      </c>
      <c r="I314" s="24">
        <f>39.95-32.2</f>
        <v>7.75</v>
      </c>
      <c r="J314" s="24">
        <f t="shared" si="23"/>
        <v>39.949999999999996</v>
      </c>
      <c r="K314" s="24" t="s">
        <v>475</v>
      </c>
      <c r="L314" s="25">
        <f t="shared" si="28"/>
        <v>39.949999999999996</v>
      </c>
    </row>
    <row r="315" spans="1:12">
      <c r="A315" s="27">
        <v>51</v>
      </c>
      <c r="B315" s="45">
        <v>200943129</v>
      </c>
      <c r="C315" s="59" t="s">
        <v>287</v>
      </c>
      <c r="D315" s="24">
        <v>3.5</v>
      </c>
      <c r="E315" s="24">
        <v>7.14</v>
      </c>
      <c r="F315" s="24">
        <v>6.86</v>
      </c>
      <c r="G315" s="24">
        <v>0</v>
      </c>
      <c r="H315" s="24">
        <v>0</v>
      </c>
      <c r="I315" s="24">
        <f>19.31-17.5</f>
        <v>1.8099999999999987</v>
      </c>
      <c r="J315" s="24">
        <f t="shared" si="23"/>
        <v>19.309999999999999</v>
      </c>
      <c r="K315" s="24" t="s">
        <v>475</v>
      </c>
      <c r="L315" s="25">
        <f t="shared" si="28"/>
        <v>19.309999999999999</v>
      </c>
    </row>
    <row r="316" spans="1:12">
      <c r="A316" s="27">
        <v>52</v>
      </c>
      <c r="B316" s="45">
        <v>200943311</v>
      </c>
      <c r="C316" s="56" t="s">
        <v>288</v>
      </c>
      <c r="D316" s="62">
        <v>3.22</v>
      </c>
      <c r="E316" s="24">
        <v>6.44</v>
      </c>
      <c r="F316" s="24">
        <v>5.04</v>
      </c>
      <c r="G316" s="24">
        <v>5.04</v>
      </c>
      <c r="H316" s="24">
        <v>4.0599999999999996</v>
      </c>
      <c r="I316" s="24">
        <f>31.67-23.8</f>
        <v>7.870000000000001</v>
      </c>
      <c r="J316" s="24">
        <f t="shared" si="23"/>
        <v>31.669999999999998</v>
      </c>
      <c r="K316" s="24" t="s">
        <v>475</v>
      </c>
      <c r="L316" s="25">
        <f t="shared" si="28"/>
        <v>31.669999999999998</v>
      </c>
    </row>
    <row r="317" spans="1:12">
      <c r="A317" s="27">
        <v>53</v>
      </c>
      <c r="B317" s="45">
        <v>200943324</v>
      </c>
      <c r="C317" s="56" t="s">
        <v>289</v>
      </c>
      <c r="D317" s="24">
        <v>6.72</v>
      </c>
      <c r="E317" s="24">
        <v>4.62</v>
      </c>
      <c r="F317" s="24">
        <v>5.6</v>
      </c>
      <c r="G317" s="24">
        <v>4.2</v>
      </c>
      <c r="H317" s="24">
        <v>2.38</v>
      </c>
      <c r="I317" s="24">
        <f>31.41-23.52</f>
        <v>7.8900000000000006</v>
      </c>
      <c r="J317" s="24">
        <f t="shared" si="23"/>
        <v>31.41</v>
      </c>
      <c r="K317" s="24" t="s">
        <v>475</v>
      </c>
      <c r="L317" s="25">
        <f t="shared" si="28"/>
        <v>31.41</v>
      </c>
    </row>
    <row r="318" spans="1:12">
      <c r="A318" s="27">
        <v>54</v>
      </c>
      <c r="B318" s="45">
        <v>200943328</v>
      </c>
      <c r="C318" s="56" t="s">
        <v>290</v>
      </c>
      <c r="D318" s="24">
        <v>2.94</v>
      </c>
      <c r="E318" s="24">
        <v>3.78</v>
      </c>
      <c r="F318" s="24">
        <v>4.76</v>
      </c>
      <c r="G318" s="24">
        <v>4.76</v>
      </c>
      <c r="H318" s="24">
        <v>0</v>
      </c>
      <c r="I318" s="24">
        <f>24.22-16.24</f>
        <v>7.98</v>
      </c>
      <c r="J318" s="24">
        <f t="shared" si="23"/>
        <v>24.220000000000002</v>
      </c>
      <c r="K318" s="24" t="s">
        <v>475</v>
      </c>
      <c r="L318" s="25">
        <f t="shared" si="28"/>
        <v>24.220000000000002</v>
      </c>
    </row>
    <row r="319" spans="1:12">
      <c r="A319" s="27">
        <v>55</v>
      </c>
      <c r="B319" s="45">
        <v>200943367</v>
      </c>
      <c r="C319" s="56" t="s">
        <v>291</v>
      </c>
      <c r="D319" s="24">
        <v>6.72</v>
      </c>
      <c r="E319" s="24">
        <v>7.14</v>
      </c>
      <c r="F319" s="24">
        <v>6.44</v>
      </c>
      <c r="G319" s="24">
        <v>3.08</v>
      </c>
      <c r="H319" s="24">
        <v>5.6</v>
      </c>
      <c r="I319" s="24">
        <f>36.68-28.98</f>
        <v>7.6999999999999993</v>
      </c>
      <c r="J319" s="24">
        <f t="shared" si="23"/>
        <v>36.68</v>
      </c>
      <c r="K319" s="24" t="s">
        <v>475</v>
      </c>
      <c r="L319" s="25">
        <f t="shared" si="28"/>
        <v>36.68</v>
      </c>
    </row>
    <row r="320" spans="1:12">
      <c r="A320" s="27">
        <v>56</v>
      </c>
      <c r="B320" s="45">
        <v>200943515</v>
      </c>
      <c r="C320" s="58" t="s">
        <v>292</v>
      </c>
      <c r="D320" s="24">
        <v>2.94</v>
      </c>
      <c r="E320" s="24">
        <v>6.16</v>
      </c>
      <c r="F320" s="24">
        <v>5.18</v>
      </c>
      <c r="G320" s="24">
        <v>7.56</v>
      </c>
      <c r="H320" s="24">
        <v>11.92</v>
      </c>
      <c r="I320" s="24">
        <f>37.29-29.26</f>
        <v>8.0299999999999976</v>
      </c>
      <c r="J320" s="24">
        <f t="shared" si="23"/>
        <v>41.789999999999992</v>
      </c>
      <c r="K320" s="24">
        <v>4</v>
      </c>
      <c r="L320" s="25">
        <f>+K320+J320</f>
        <v>45.789999999999992</v>
      </c>
    </row>
    <row r="321" spans="1:12">
      <c r="A321" s="27">
        <v>57</v>
      </c>
      <c r="B321" s="45">
        <v>200943644</v>
      </c>
      <c r="C321" s="58" t="s">
        <v>293</v>
      </c>
      <c r="D321" s="24">
        <v>1.54</v>
      </c>
      <c r="E321" s="24">
        <v>9.8000000000000007</v>
      </c>
      <c r="F321" s="24">
        <v>5.88</v>
      </c>
      <c r="G321" s="24">
        <v>5.04</v>
      </c>
      <c r="H321" s="24">
        <v>2.38</v>
      </c>
      <c r="I321" s="24">
        <f>31-24.64</f>
        <v>6.3599999999999994</v>
      </c>
      <c r="J321" s="24">
        <f t="shared" si="23"/>
        <v>30.999999999999996</v>
      </c>
      <c r="K321" s="24" t="s">
        <v>475</v>
      </c>
      <c r="L321" s="25">
        <f t="shared" si="28"/>
        <v>30.999999999999996</v>
      </c>
    </row>
    <row r="322" spans="1:12">
      <c r="A322" s="27">
        <v>58</v>
      </c>
      <c r="B322" s="45">
        <v>200943647</v>
      </c>
      <c r="C322" s="56" t="s">
        <v>294</v>
      </c>
      <c r="D322" s="24">
        <v>6.72</v>
      </c>
      <c r="E322" s="24">
        <v>6.02</v>
      </c>
      <c r="F322" s="24">
        <v>7.42</v>
      </c>
      <c r="G322" s="24">
        <v>0</v>
      </c>
      <c r="H322" s="24">
        <v>0</v>
      </c>
      <c r="I322" s="24">
        <f>22.02-20.16</f>
        <v>1.8599999999999994</v>
      </c>
      <c r="J322" s="24">
        <f t="shared" si="23"/>
        <v>22.02</v>
      </c>
      <c r="K322" s="24" t="s">
        <v>475</v>
      </c>
      <c r="L322" s="25">
        <f t="shared" si="28"/>
        <v>22.02</v>
      </c>
    </row>
    <row r="323" spans="1:12">
      <c r="A323" s="27">
        <v>59</v>
      </c>
      <c r="B323" s="45">
        <v>200943674</v>
      </c>
      <c r="C323" s="59" t="s">
        <v>295</v>
      </c>
      <c r="D323" s="24">
        <v>3.92</v>
      </c>
      <c r="E323" s="24">
        <v>5.04</v>
      </c>
      <c r="F323" s="24">
        <v>3.22</v>
      </c>
      <c r="G323" s="24">
        <v>0</v>
      </c>
      <c r="H323" s="24">
        <v>0</v>
      </c>
      <c r="I323" s="24">
        <f>14.9-12.18</f>
        <v>2.7200000000000006</v>
      </c>
      <c r="J323" s="24">
        <f t="shared" si="23"/>
        <v>14.9</v>
      </c>
      <c r="K323" s="24" t="s">
        <v>475</v>
      </c>
      <c r="L323" s="25">
        <f t="shared" si="28"/>
        <v>14.9</v>
      </c>
    </row>
    <row r="324" spans="1:12">
      <c r="A324" s="27">
        <v>60</v>
      </c>
      <c r="B324" s="57">
        <v>200944408</v>
      </c>
      <c r="C324" s="60" t="s">
        <v>296</v>
      </c>
      <c r="D324" s="24">
        <v>10.64</v>
      </c>
      <c r="E324" s="24">
        <v>5.88</v>
      </c>
      <c r="F324" s="24">
        <v>5.32</v>
      </c>
      <c r="G324" s="24">
        <v>4.76</v>
      </c>
      <c r="H324" s="24">
        <v>6.3</v>
      </c>
      <c r="I324" s="24">
        <f>41.21-32.9</f>
        <v>8.3100000000000023</v>
      </c>
      <c r="J324" s="24">
        <f t="shared" si="23"/>
        <v>41.210000000000008</v>
      </c>
      <c r="K324" s="24">
        <v>1.2</v>
      </c>
      <c r="L324" s="25">
        <f t="shared" si="25"/>
        <v>42.410000000000011</v>
      </c>
    </row>
    <row r="325" spans="1:12">
      <c r="A325" s="27">
        <v>61</v>
      </c>
      <c r="B325" s="57">
        <v>200945537</v>
      </c>
      <c r="C325" s="60" t="s">
        <v>297</v>
      </c>
      <c r="D325" s="24">
        <v>4.2</v>
      </c>
      <c r="E325" s="24">
        <v>4.34</v>
      </c>
      <c r="F325" s="24">
        <v>0</v>
      </c>
      <c r="G325" s="24">
        <v>0</v>
      </c>
      <c r="H325" s="24">
        <v>0</v>
      </c>
      <c r="I325" s="24">
        <f>10.19-8.54</f>
        <v>1.6500000000000004</v>
      </c>
      <c r="J325" s="24">
        <f t="shared" si="23"/>
        <v>10.190000000000001</v>
      </c>
      <c r="K325" s="24" t="s">
        <v>475</v>
      </c>
      <c r="L325" s="25">
        <f>+J325</f>
        <v>10.190000000000001</v>
      </c>
    </row>
    <row r="326" spans="1:12">
      <c r="A326" s="27">
        <v>62</v>
      </c>
      <c r="B326" s="57">
        <v>200946029</v>
      </c>
      <c r="C326" s="60" t="s">
        <v>298</v>
      </c>
      <c r="D326" s="24">
        <v>5.74</v>
      </c>
      <c r="E326" s="24">
        <v>5.32</v>
      </c>
      <c r="F326" s="24">
        <v>7</v>
      </c>
      <c r="G326" s="24">
        <v>4.76</v>
      </c>
      <c r="H326" s="24">
        <v>4.2</v>
      </c>
      <c r="I326" s="24">
        <f>35.15-27.02</f>
        <v>8.129999999999999</v>
      </c>
      <c r="J326" s="24">
        <f t="shared" si="23"/>
        <v>35.15</v>
      </c>
      <c r="K326" s="24" t="s">
        <v>475</v>
      </c>
      <c r="L326" s="25">
        <f t="shared" ref="L326:L327" si="29">+J326</f>
        <v>35.15</v>
      </c>
    </row>
    <row r="327" spans="1:12">
      <c r="A327" s="27">
        <v>63</v>
      </c>
      <c r="B327" s="45">
        <v>200946037</v>
      </c>
      <c r="C327" s="60" t="s">
        <v>299</v>
      </c>
      <c r="D327" s="24">
        <v>2.2400000000000002</v>
      </c>
      <c r="E327" s="24">
        <v>5.6</v>
      </c>
      <c r="F327" s="24">
        <v>5.18</v>
      </c>
      <c r="G327" s="24">
        <v>4.2</v>
      </c>
      <c r="H327" s="24">
        <v>0</v>
      </c>
      <c r="I327" s="24">
        <f>24.68-17.22</f>
        <v>7.4600000000000009</v>
      </c>
      <c r="J327" s="24">
        <f t="shared" si="23"/>
        <v>24.68</v>
      </c>
      <c r="K327" s="24" t="s">
        <v>475</v>
      </c>
      <c r="L327" s="25">
        <f t="shared" si="29"/>
        <v>24.68</v>
      </c>
    </row>
    <row r="328" spans="1:12">
      <c r="A328" s="29"/>
      <c r="B328" s="29"/>
      <c r="C328" s="30"/>
      <c r="D328" s="31"/>
      <c r="E328" s="31"/>
      <c r="F328" s="31"/>
      <c r="G328" s="31"/>
      <c r="H328" s="31"/>
      <c r="I328" s="31"/>
      <c r="J328" s="31"/>
      <c r="K328" s="31"/>
      <c r="L328" s="32"/>
    </row>
    <row r="329" spans="1:12">
      <c r="A329" s="29"/>
      <c r="B329" s="29"/>
      <c r="C329" s="30"/>
      <c r="D329" s="31"/>
      <c r="E329" s="31"/>
      <c r="F329" s="31"/>
      <c r="G329" s="31"/>
      <c r="H329" s="31"/>
      <c r="I329" s="31"/>
      <c r="J329" s="31"/>
      <c r="K329" s="31"/>
      <c r="L329" s="32"/>
    </row>
    <row r="330" spans="1:12" ht="17.25" thickBot="1">
      <c r="A330" s="33"/>
      <c r="B330" s="33"/>
      <c r="C330" s="34"/>
      <c r="D330" s="31"/>
      <c r="E330" s="31"/>
      <c r="F330" s="31"/>
      <c r="G330" s="31"/>
      <c r="H330" s="35"/>
      <c r="I330" s="35"/>
      <c r="J330" s="35"/>
      <c r="K330" s="9"/>
      <c r="L330" s="32"/>
    </row>
    <row r="331" spans="1:12">
      <c r="H331" s="100" t="s">
        <v>439</v>
      </c>
      <c r="I331" s="100"/>
      <c r="J331" s="100"/>
      <c r="L331" s="1"/>
    </row>
    <row r="332" spans="1:12">
      <c r="D332" s="36"/>
      <c r="H332" s="100" t="s">
        <v>430</v>
      </c>
      <c r="I332" s="100"/>
      <c r="J332" s="100"/>
      <c r="L332" s="1"/>
    </row>
    <row r="333" spans="1:12">
      <c r="D333" s="36"/>
      <c r="H333" s="100" t="s">
        <v>440</v>
      </c>
      <c r="I333" s="100"/>
      <c r="J333" s="100"/>
      <c r="L333" s="1"/>
    </row>
    <row r="337" spans="1:12" ht="17.25" thickBot="1">
      <c r="A337" s="1" t="s">
        <v>0</v>
      </c>
      <c r="I337" s="3"/>
    </row>
    <row r="338" spans="1:12">
      <c r="A338" s="1" t="s">
        <v>1</v>
      </c>
      <c r="F338" s="4"/>
      <c r="G338" s="5"/>
      <c r="H338" s="6"/>
      <c r="I338" s="7"/>
    </row>
    <row r="339" spans="1:12">
      <c r="A339" s="8" t="s">
        <v>2</v>
      </c>
      <c r="B339" s="9"/>
      <c r="E339" s="7"/>
      <c r="F339" s="10"/>
      <c r="G339" s="11"/>
      <c r="H339" s="12"/>
      <c r="I339" s="7"/>
    </row>
    <row r="340" spans="1:12" ht="17.25" thickBot="1">
      <c r="A340" s="13" t="s">
        <v>3</v>
      </c>
      <c r="B340" s="9"/>
      <c r="E340" s="7"/>
      <c r="F340" s="10"/>
      <c r="G340" s="11"/>
      <c r="H340" s="12"/>
      <c r="I340" s="7"/>
    </row>
    <row r="341" spans="1:12" ht="17.25" thickBot="1">
      <c r="A341" s="14" t="s">
        <v>22</v>
      </c>
      <c r="B341" s="15"/>
      <c r="C341" s="16"/>
      <c r="E341" s="7"/>
      <c r="F341" s="17"/>
      <c r="G341" s="18"/>
      <c r="H341" s="19"/>
      <c r="I341" s="7"/>
    </row>
    <row r="342" spans="1:12">
      <c r="A342" s="8"/>
      <c r="B342" s="9"/>
      <c r="E342" s="7"/>
      <c r="I342" s="3"/>
    </row>
    <row r="343" spans="1:12">
      <c r="A343" s="1" t="s">
        <v>91</v>
      </c>
      <c r="B343" s="9"/>
      <c r="C343" s="20" t="s">
        <v>365</v>
      </c>
      <c r="E343" s="7"/>
      <c r="I343" s="3"/>
    </row>
    <row r="344" spans="1:12">
      <c r="A344" s="1" t="s">
        <v>4</v>
      </c>
      <c r="C344" s="20" t="s">
        <v>437</v>
      </c>
      <c r="I344" s="3"/>
    </row>
    <row r="345" spans="1:12">
      <c r="A345" s="1" t="s">
        <v>5</v>
      </c>
      <c r="C345" s="20" t="s">
        <v>438</v>
      </c>
    </row>
    <row r="346" spans="1:12">
      <c r="A346" s="21"/>
      <c r="B346" s="21"/>
      <c r="C346" s="21"/>
      <c r="D346" s="21"/>
      <c r="E346" s="21"/>
      <c r="F346" s="21"/>
      <c r="G346" s="21"/>
      <c r="H346" s="21"/>
      <c r="I346" s="21"/>
      <c r="J346" s="21"/>
    </row>
    <row r="347" spans="1:12">
      <c r="A347" s="1"/>
      <c r="C347" s="22" t="s">
        <v>6</v>
      </c>
      <c r="D347" s="22" t="s">
        <v>441</v>
      </c>
      <c r="E347" s="22" t="s">
        <v>441</v>
      </c>
      <c r="F347" s="22" t="s">
        <v>441</v>
      </c>
      <c r="G347" s="22" t="s">
        <v>441</v>
      </c>
      <c r="H347" s="22" t="s">
        <v>441</v>
      </c>
      <c r="I347" s="22" t="s">
        <v>442</v>
      </c>
      <c r="J347" s="22" t="s">
        <v>8</v>
      </c>
      <c r="K347" s="22" t="s">
        <v>7</v>
      </c>
      <c r="L347" s="22" t="s">
        <v>9</v>
      </c>
    </row>
    <row r="348" spans="1:12">
      <c r="A348" s="22" t="s">
        <v>10</v>
      </c>
      <c r="B348" s="22" t="s">
        <v>11</v>
      </c>
      <c r="C348" s="22" t="s">
        <v>12</v>
      </c>
      <c r="D348" s="22" t="s">
        <v>13</v>
      </c>
      <c r="E348" s="22" t="s">
        <v>14</v>
      </c>
      <c r="F348" s="22" t="s">
        <v>15</v>
      </c>
      <c r="G348" s="22" t="s">
        <v>16</v>
      </c>
      <c r="H348" s="22" t="s">
        <v>17</v>
      </c>
      <c r="I348" s="22" t="s">
        <v>95</v>
      </c>
      <c r="J348" s="22" t="s">
        <v>18</v>
      </c>
      <c r="K348" s="22" t="s">
        <v>19</v>
      </c>
      <c r="L348" s="22" t="s">
        <v>20</v>
      </c>
    </row>
    <row r="349" spans="1:12">
      <c r="A349" s="23">
        <v>1</v>
      </c>
      <c r="B349" s="45">
        <v>200741835</v>
      </c>
      <c r="C349" s="56" t="s">
        <v>367</v>
      </c>
      <c r="D349" s="24">
        <v>8.5399999999999991</v>
      </c>
      <c r="E349" s="24">
        <v>6.02</v>
      </c>
      <c r="F349" s="24">
        <v>5.46</v>
      </c>
      <c r="G349" s="24">
        <v>6.16</v>
      </c>
      <c r="H349" s="24">
        <v>9.3800000000000008</v>
      </c>
      <c r="I349" s="24">
        <f>44.78-35.56</f>
        <v>9.2199999999999989</v>
      </c>
      <c r="J349" s="24">
        <f>+I349+H349+G349+F349+E349+D349</f>
        <v>44.78</v>
      </c>
      <c r="K349" s="24">
        <v>4.5999999999999996</v>
      </c>
      <c r="L349" s="25">
        <f>+K349+J349</f>
        <v>49.38</v>
      </c>
    </row>
    <row r="350" spans="1:12">
      <c r="A350" s="26">
        <f>1+A349</f>
        <v>2</v>
      </c>
      <c r="B350" s="45">
        <v>200742791</v>
      </c>
      <c r="C350" s="56" t="s">
        <v>369</v>
      </c>
      <c r="D350" s="62">
        <v>8.82</v>
      </c>
      <c r="E350" s="24">
        <v>10.92</v>
      </c>
      <c r="F350" s="24">
        <v>10.08</v>
      </c>
      <c r="G350" s="24">
        <v>10.36</v>
      </c>
      <c r="H350" s="24">
        <v>5.46</v>
      </c>
      <c r="I350" s="24">
        <f>54.85-45.64</f>
        <v>9.2100000000000009</v>
      </c>
      <c r="J350" s="24">
        <f t="shared" ref="J350:J404" si="30">+I350+H350+G350+F350+E350+D350</f>
        <v>54.85</v>
      </c>
      <c r="K350" s="24">
        <v>10.199999999999999</v>
      </c>
      <c r="L350" s="25">
        <f t="shared" ref="L350:L400" si="31">+K350+J350</f>
        <v>65.05</v>
      </c>
    </row>
    <row r="351" spans="1:12">
      <c r="A351" s="26">
        <f t="shared" ref="A351:A404" si="32">1+A350</f>
        <v>3</v>
      </c>
      <c r="B351" s="45">
        <v>200742795</v>
      </c>
      <c r="C351" s="56" t="s">
        <v>370</v>
      </c>
      <c r="D351" s="24">
        <v>5.6</v>
      </c>
      <c r="E351" s="24">
        <v>4.2</v>
      </c>
      <c r="F351" s="24">
        <v>7</v>
      </c>
      <c r="G351" s="24">
        <v>5.32</v>
      </c>
      <c r="H351" s="24">
        <v>2.8</v>
      </c>
      <c r="I351" s="24">
        <f>28.67-24.92</f>
        <v>3.75</v>
      </c>
      <c r="J351" s="24">
        <f t="shared" si="30"/>
        <v>28.67</v>
      </c>
      <c r="K351" s="24" t="s">
        <v>475</v>
      </c>
      <c r="L351" s="25">
        <f>+J351</f>
        <v>28.67</v>
      </c>
    </row>
    <row r="352" spans="1:12">
      <c r="A352" s="26">
        <f t="shared" si="32"/>
        <v>4</v>
      </c>
      <c r="B352" s="45">
        <v>200840057</v>
      </c>
      <c r="C352" s="56" t="s">
        <v>371</v>
      </c>
      <c r="D352" s="24">
        <v>3.64</v>
      </c>
      <c r="E352" s="24">
        <v>2.94</v>
      </c>
      <c r="F352" s="24">
        <v>2.66</v>
      </c>
      <c r="G352" s="24">
        <v>0</v>
      </c>
      <c r="H352" s="24">
        <v>0</v>
      </c>
      <c r="I352" s="24">
        <f>10.91-9.24</f>
        <v>1.67</v>
      </c>
      <c r="J352" s="24">
        <f t="shared" si="30"/>
        <v>10.91</v>
      </c>
      <c r="K352" s="24" t="s">
        <v>475</v>
      </c>
      <c r="L352" s="25">
        <f t="shared" ref="L352:L356" si="33">+J352</f>
        <v>10.91</v>
      </c>
    </row>
    <row r="353" spans="1:12">
      <c r="A353" s="26">
        <f t="shared" si="32"/>
        <v>5</v>
      </c>
      <c r="B353" s="45">
        <v>200840063</v>
      </c>
      <c r="C353" s="56" t="s">
        <v>372</v>
      </c>
      <c r="D353" s="24">
        <v>4.62</v>
      </c>
      <c r="E353" s="24">
        <v>2.8</v>
      </c>
      <c r="F353" s="24">
        <v>8.68</v>
      </c>
      <c r="G353" s="24">
        <v>6.44</v>
      </c>
      <c r="H353" s="24">
        <v>4.62</v>
      </c>
      <c r="I353" s="24">
        <f>35.58-27.16</f>
        <v>8.4199999999999982</v>
      </c>
      <c r="J353" s="24">
        <f t="shared" si="30"/>
        <v>35.58</v>
      </c>
      <c r="K353" s="24" t="s">
        <v>475</v>
      </c>
      <c r="L353" s="25">
        <f t="shared" si="33"/>
        <v>35.58</v>
      </c>
    </row>
    <row r="354" spans="1:12">
      <c r="A354" s="26">
        <f t="shared" si="32"/>
        <v>6</v>
      </c>
      <c r="B354" s="45">
        <v>200840082</v>
      </c>
      <c r="C354" s="56" t="s">
        <v>373</v>
      </c>
      <c r="D354" s="24">
        <v>5.32</v>
      </c>
      <c r="E354" s="24">
        <v>3.5</v>
      </c>
      <c r="F354" s="24">
        <v>5.74</v>
      </c>
      <c r="G354" s="24">
        <v>3.92</v>
      </c>
      <c r="H354" s="24">
        <v>2.94</v>
      </c>
      <c r="I354" s="24">
        <f>26.11-21.42</f>
        <v>4.6899999999999977</v>
      </c>
      <c r="J354" s="24">
        <f t="shared" si="30"/>
        <v>26.11</v>
      </c>
      <c r="K354" s="24" t="s">
        <v>475</v>
      </c>
      <c r="L354" s="25">
        <f t="shared" si="33"/>
        <v>26.11</v>
      </c>
    </row>
    <row r="355" spans="1:12">
      <c r="A355" s="26">
        <f t="shared" si="32"/>
        <v>7</v>
      </c>
      <c r="B355" s="45">
        <v>200840117</v>
      </c>
      <c r="C355" s="56" t="s">
        <v>374</v>
      </c>
      <c r="D355" s="24">
        <v>4.62</v>
      </c>
      <c r="E355" s="24">
        <v>3.22</v>
      </c>
      <c r="F355" s="24">
        <v>6.72</v>
      </c>
      <c r="G355" s="24">
        <v>0</v>
      </c>
      <c r="H355" s="24">
        <v>0</v>
      </c>
      <c r="I355" s="24">
        <f>17.32-14.56</f>
        <v>2.76</v>
      </c>
      <c r="J355" s="24">
        <f t="shared" si="30"/>
        <v>17.32</v>
      </c>
      <c r="K355" s="24" t="s">
        <v>475</v>
      </c>
      <c r="L355" s="25">
        <f t="shared" si="33"/>
        <v>17.32</v>
      </c>
    </row>
    <row r="356" spans="1:12">
      <c r="A356" s="26">
        <f t="shared" si="32"/>
        <v>8</v>
      </c>
      <c r="B356" s="45">
        <v>200840139</v>
      </c>
      <c r="C356" s="56" t="s">
        <v>375</v>
      </c>
      <c r="D356" s="24">
        <v>6.3</v>
      </c>
      <c r="E356" s="24">
        <v>0</v>
      </c>
      <c r="F356" s="24">
        <v>0</v>
      </c>
      <c r="G356" s="24">
        <v>0</v>
      </c>
      <c r="H356" s="24">
        <v>0</v>
      </c>
      <c r="I356" s="24">
        <f>7.91-6.3</f>
        <v>1.6100000000000003</v>
      </c>
      <c r="J356" s="24">
        <f t="shared" si="30"/>
        <v>7.91</v>
      </c>
      <c r="K356" s="24" t="s">
        <v>475</v>
      </c>
      <c r="L356" s="25">
        <f t="shared" si="33"/>
        <v>7.91</v>
      </c>
    </row>
    <row r="357" spans="1:12">
      <c r="A357" s="26">
        <f t="shared" si="32"/>
        <v>9</v>
      </c>
      <c r="B357" s="45">
        <v>200840178</v>
      </c>
      <c r="C357" s="60" t="s">
        <v>377</v>
      </c>
      <c r="D357" s="24">
        <v>7.42</v>
      </c>
      <c r="E357" s="24">
        <v>5.88</v>
      </c>
      <c r="F357" s="24">
        <v>6.86</v>
      </c>
      <c r="G357" s="24">
        <v>5.04</v>
      </c>
      <c r="H357" s="24">
        <v>7.56</v>
      </c>
      <c r="I357" s="24">
        <f>41.96-32.76</f>
        <v>9.2000000000000028</v>
      </c>
      <c r="J357" s="24">
        <f t="shared" si="30"/>
        <v>41.96</v>
      </c>
      <c r="K357" s="24">
        <v>3.4</v>
      </c>
      <c r="L357" s="25">
        <f t="shared" si="31"/>
        <v>45.36</v>
      </c>
    </row>
    <row r="358" spans="1:12">
      <c r="A358" s="26">
        <f t="shared" si="32"/>
        <v>10</v>
      </c>
      <c r="B358" s="45">
        <v>200840181</v>
      </c>
      <c r="C358" s="56" t="s">
        <v>378</v>
      </c>
      <c r="D358" s="24">
        <v>7.42</v>
      </c>
      <c r="E358" s="24">
        <v>10.64</v>
      </c>
      <c r="F358" s="24">
        <v>13.44</v>
      </c>
      <c r="G358" s="24">
        <v>9.52</v>
      </c>
      <c r="H358" s="24">
        <v>10.64</v>
      </c>
      <c r="I358" s="24">
        <f>60.82-51.66</f>
        <v>9.1600000000000037</v>
      </c>
      <c r="J358" s="24">
        <f t="shared" si="30"/>
        <v>60.820000000000007</v>
      </c>
      <c r="K358" s="24">
        <v>14.8</v>
      </c>
      <c r="L358" s="25">
        <f t="shared" si="31"/>
        <v>75.62</v>
      </c>
    </row>
    <row r="359" spans="1:12">
      <c r="A359" s="26">
        <f t="shared" si="32"/>
        <v>11</v>
      </c>
      <c r="B359" s="45">
        <v>200840190</v>
      </c>
      <c r="C359" s="56" t="s">
        <v>379</v>
      </c>
      <c r="D359" s="24">
        <v>2.66</v>
      </c>
      <c r="E359" s="24">
        <v>4.0599999999999996</v>
      </c>
      <c r="F359" s="24">
        <v>4.34</v>
      </c>
      <c r="G359" s="24">
        <v>0</v>
      </c>
      <c r="H359" s="28">
        <v>0</v>
      </c>
      <c r="I359" s="28">
        <f>13.76-11.06</f>
        <v>2.6999999999999993</v>
      </c>
      <c r="J359" s="24">
        <f t="shared" si="30"/>
        <v>13.759999999999998</v>
      </c>
      <c r="K359" s="24" t="s">
        <v>475</v>
      </c>
      <c r="L359" s="25">
        <f>+J359</f>
        <v>13.759999999999998</v>
      </c>
    </row>
    <row r="360" spans="1:12">
      <c r="A360" s="26">
        <f t="shared" si="32"/>
        <v>12</v>
      </c>
      <c r="B360" s="45">
        <v>200840222</v>
      </c>
      <c r="C360" s="56" t="s">
        <v>381</v>
      </c>
      <c r="D360" s="24">
        <v>6.02</v>
      </c>
      <c r="E360" s="24">
        <v>5.88</v>
      </c>
      <c r="F360" s="24">
        <v>5.6</v>
      </c>
      <c r="G360" s="24">
        <v>9.52</v>
      </c>
      <c r="H360" s="28">
        <v>9.6999999999999993</v>
      </c>
      <c r="I360" s="28">
        <f>43.63-34.72</f>
        <v>8.9100000000000037</v>
      </c>
      <c r="J360" s="24">
        <f t="shared" si="30"/>
        <v>45.63000000000001</v>
      </c>
      <c r="K360" s="24">
        <v>5.2</v>
      </c>
      <c r="L360" s="25">
        <f t="shared" si="31"/>
        <v>50.830000000000013</v>
      </c>
    </row>
    <row r="361" spans="1:12">
      <c r="A361" s="26">
        <f t="shared" si="32"/>
        <v>13</v>
      </c>
      <c r="B361" s="45">
        <v>200840256</v>
      </c>
      <c r="C361" s="56" t="s">
        <v>382</v>
      </c>
      <c r="D361" s="24">
        <v>8.82</v>
      </c>
      <c r="E361" s="24">
        <v>7.98</v>
      </c>
      <c r="F361" s="24">
        <v>10.92</v>
      </c>
      <c r="G361" s="24">
        <v>7.56</v>
      </c>
      <c r="H361" s="28">
        <v>8.4</v>
      </c>
      <c r="I361" s="28">
        <f>52.56-43.68</f>
        <v>8.8800000000000026</v>
      </c>
      <c r="J361" s="24">
        <f t="shared" si="30"/>
        <v>52.559999999999995</v>
      </c>
      <c r="K361" s="24">
        <v>11.6</v>
      </c>
      <c r="L361" s="25">
        <f t="shared" si="31"/>
        <v>64.16</v>
      </c>
    </row>
    <row r="362" spans="1:12">
      <c r="A362" s="26">
        <f t="shared" si="32"/>
        <v>14</v>
      </c>
      <c r="B362" s="45">
        <v>200842080</v>
      </c>
      <c r="C362" s="56" t="s">
        <v>383</v>
      </c>
      <c r="D362" s="24">
        <v>6.02</v>
      </c>
      <c r="E362" s="24">
        <v>5.18</v>
      </c>
      <c r="F362" s="24">
        <v>6.44</v>
      </c>
      <c r="G362" s="24">
        <v>8.5399999999999991</v>
      </c>
      <c r="H362" s="28">
        <v>10.220000000000001</v>
      </c>
      <c r="I362" s="28">
        <f>45.33-36.4</f>
        <v>8.93</v>
      </c>
      <c r="J362" s="24">
        <f t="shared" si="30"/>
        <v>45.33</v>
      </c>
      <c r="K362" s="24">
        <v>6</v>
      </c>
      <c r="L362" s="25">
        <f t="shared" si="31"/>
        <v>51.33</v>
      </c>
    </row>
    <row r="363" spans="1:12">
      <c r="A363" s="26">
        <f t="shared" si="32"/>
        <v>15</v>
      </c>
      <c r="B363" s="45">
        <v>200842122</v>
      </c>
      <c r="C363" s="60" t="s">
        <v>384</v>
      </c>
      <c r="D363" s="24">
        <v>5.46</v>
      </c>
      <c r="E363" s="24">
        <v>5.04</v>
      </c>
      <c r="F363" s="24">
        <v>5.46</v>
      </c>
      <c r="G363" s="24">
        <v>4.2</v>
      </c>
      <c r="H363" s="24">
        <v>2.94</v>
      </c>
      <c r="I363" s="24">
        <f>27.82-23.1</f>
        <v>4.7199999999999989</v>
      </c>
      <c r="J363" s="24">
        <f t="shared" si="30"/>
        <v>27.82</v>
      </c>
      <c r="K363" s="24" t="s">
        <v>475</v>
      </c>
      <c r="L363" s="25">
        <f>+J363</f>
        <v>27.82</v>
      </c>
    </row>
    <row r="364" spans="1:12">
      <c r="A364" s="26">
        <f t="shared" si="32"/>
        <v>16</v>
      </c>
      <c r="B364" s="45">
        <v>200842241</v>
      </c>
      <c r="C364" s="56" t="s">
        <v>385</v>
      </c>
      <c r="D364" s="24">
        <v>4.76</v>
      </c>
      <c r="E364" s="24">
        <v>6.86</v>
      </c>
      <c r="F364" s="24">
        <v>4.62</v>
      </c>
      <c r="G364" s="24">
        <v>4.34</v>
      </c>
      <c r="H364" s="24">
        <v>0</v>
      </c>
      <c r="I364" s="24">
        <f>28.8-20.58</f>
        <v>8.2200000000000024</v>
      </c>
      <c r="J364" s="24">
        <f t="shared" si="30"/>
        <v>28.800000000000004</v>
      </c>
      <c r="K364" s="24" t="s">
        <v>475</v>
      </c>
      <c r="L364" s="25">
        <f>+J364</f>
        <v>28.800000000000004</v>
      </c>
    </row>
    <row r="365" spans="1:12">
      <c r="A365" s="26">
        <f t="shared" si="32"/>
        <v>17</v>
      </c>
      <c r="B365" s="45">
        <v>200842422</v>
      </c>
      <c r="C365" s="56" t="s">
        <v>386</v>
      </c>
      <c r="D365" s="24">
        <v>7</v>
      </c>
      <c r="E365" s="24">
        <v>8.1199999999999992</v>
      </c>
      <c r="F365" s="24">
        <v>8.1199999999999992</v>
      </c>
      <c r="G365" s="24">
        <v>9.52</v>
      </c>
      <c r="H365" s="24">
        <v>5.74</v>
      </c>
      <c r="I365" s="24">
        <f>1.75+1.44+0.71+1+2+1.7</f>
        <v>8.6</v>
      </c>
      <c r="J365" s="24">
        <f t="shared" si="30"/>
        <v>47.099999999999994</v>
      </c>
      <c r="K365" s="24">
        <v>3.4</v>
      </c>
      <c r="L365" s="25">
        <f t="shared" si="31"/>
        <v>50.499999999999993</v>
      </c>
    </row>
    <row r="366" spans="1:12">
      <c r="A366" s="26">
        <f t="shared" si="32"/>
        <v>18</v>
      </c>
      <c r="B366" s="45">
        <v>200842445</v>
      </c>
      <c r="C366" s="56" t="s">
        <v>387</v>
      </c>
      <c r="D366" s="24">
        <v>7.42</v>
      </c>
      <c r="E366" s="24">
        <v>7.42</v>
      </c>
      <c r="F366" s="24">
        <v>10.5</v>
      </c>
      <c r="G366" s="24">
        <v>7</v>
      </c>
      <c r="H366" s="24">
        <v>4.2</v>
      </c>
      <c r="I366" s="24">
        <f>46.27-37.94</f>
        <v>8.3300000000000054</v>
      </c>
      <c r="J366" s="24">
        <v>46.27</v>
      </c>
      <c r="K366" s="24">
        <v>8.6</v>
      </c>
      <c r="L366" s="25">
        <f t="shared" si="31"/>
        <v>54.870000000000005</v>
      </c>
    </row>
    <row r="367" spans="1:12">
      <c r="A367" s="26">
        <f t="shared" si="32"/>
        <v>19</v>
      </c>
      <c r="B367" s="45">
        <v>200842701</v>
      </c>
      <c r="C367" s="56" t="s">
        <v>388</v>
      </c>
      <c r="D367" s="24">
        <v>7.84</v>
      </c>
      <c r="E367" s="24">
        <v>4.76</v>
      </c>
      <c r="F367" s="24">
        <v>5.74</v>
      </c>
      <c r="G367" s="24">
        <v>0</v>
      </c>
      <c r="H367" s="24">
        <v>0</v>
      </c>
      <c r="I367" s="24">
        <f>21.67-18.34</f>
        <v>3.3300000000000018</v>
      </c>
      <c r="J367" s="24">
        <f t="shared" si="30"/>
        <v>21.67</v>
      </c>
      <c r="K367" s="24" t="s">
        <v>475</v>
      </c>
      <c r="L367" s="25">
        <f>+J367</f>
        <v>21.67</v>
      </c>
    </row>
    <row r="368" spans="1:12">
      <c r="A368" s="26">
        <f t="shared" si="32"/>
        <v>20</v>
      </c>
      <c r="B368" s="45">
        <v>200843354</v>
      </c>
      <c r="C368" s="59" t="s">
        <v>389</v>
      </c>
      <c r="D368" s="24">
        <v>3.5</v>
      </c>
      <c r="E368" s="24">
        <v>5.04</v>
      </c>
      <c r="F368" s="24">
        <v>6.02</v>
      </c>
      <c r="G368" s="24">
        <v>3.64</v>
      </c>
      <c r="H368" s="24">
        <v>4.76</v>
      </c>
      <c r="I368" s="24">
        <f>31.31-22.96</f>
        <v>8.3499999999999979</v>
      </c>
      <c r="J368" s="24">
        <f t="shared" si="30"/>
        <v>31.309999999999995</v>
      </c>
      <c r="K368" s="24" t="s">
        <v>475</v>
      </c>
      <c r="L368" s="25">
        <f t="shared" ref="L368:L369" si="34">+J368</f>
        <v>31.309999999999995</v>
      </c>
    </row>
    <row r="369" spans="1:12">
      <c r="A369" s="26">
        <f t="shared" si="32"/>
        <v>21</v>
      </c>
      <c r="B369" s="45">
        <v>200843490</v>
      </c>
      <c r="C369" s="56" t="s">
        <v>390</v>
      </c>
      <c r="D369" s="24">
        <v>9.8000000000000007</v>
      </c>
      <c r="E369" s="24">
        <v>4.62</v>
      </c>
      <c r="F369" s="24">
        <v>10.220000000000001</v>
      </c>
      <c r="G369" s="24">
        <v>0</v>
      </c>
      <c r="H369" s="24">
        <v>0</v>
      </c>
      <c r="I369" s="24">
        <f>29.68-24.64</f>
        <v>5.0399999999999991</v>
      </c>
      <c r="J369" s="24">
        <f t="shared" si="30"/>
        <v>29.68</v>
      </c>
      <c r="K369" s="24" t="s">
        <v>475</v>
      </c>
      <c r="L369" s="25">
        <f t="shared" si="34"/>
        <v>29.68</v>
      </c>
    </row>
    <row r="370" spans="1:12">
      <c r="A370" s="26">
        <f t="shared" si="32"/>
        <v>22</v>
      </c>
      <c r="B370" s="45">
        <v>200880018</v>
      </c>
      <c r="C370" s="60" t="s">
        <v>391</v>
      </c>
      <c r="D370" s="24">
        <v>9.52</v>
      </c>
      <c r="E370" s="24">
        <v>7.7</v>
      </c>
      <c r="F370" s="24">
        <v>8.68</v>
      </c>
      <c r="G370" s="24">
        <v>9.52</v>
      </c>
      <c r="H370" s="24">
        <v>7.7</v>
      </c>
      <c r="I370" s="24">
        <f>50.78-43.12</f>
        <v>7.6600000000000037</v>
      </c>
      <c r="J370" s="24">
        <f t="shared" si="30"/>
        <v>50.78</v>
      </c>
      <c r="K370" s="24">
        <v>11.2</v>
      </c>
      <c r="L370" s="25">
        <f t="shared" si="31"/>
        <v>61.980000000000004</v>
      </c>
    </row>
    <row r="371" spans="1:12">
      <c r="A371" s="26">
        <f t="shared" si="32"/>
        <v>23</v>
      </c>
      <c r="B371" s="45">
        <v>200880037</v>
      </c>
      <c r="C371" s="56" t="s">
        <v>392</v>
      </c>
      <c r="D371" s="24">
        <v>9.1</v>
      </c>
      <c r="E371" s="24">
        <v>8.5399999999999991</v>
      </c>
      <c r="F371" s="24">
        <v>9.1</v>
      </c>
      <c r="G371" s="24">
        <v>8.68</v>
      </c>
      <c r="H371" s="24">
        <v>8.1199999999999992</v>
      </c>
      <c r="I371" s="24">
        <f>52.56-43.54</f>
        <v>9.0200000000000031</v>
      </c>
      <c r="J371" s="24">
        <f t="shared" si="30"/>
        <v>52.56</v>
      </c>
      <c r="K371" s="24">
        <v>4.5999999999999996</v>
      </c>
      <c r="L371" s="25">
        <f t="shared" si="31"/>
        <v>57.160000000000004</v>
      </c>
    </row>
    <row r="372" spans="1:12">
      <c r="A372" s="26">
        <f t="shared" si="32"/>
        <v>24</v>
      </c>
      <c r="B372" s="45">
        <v>200880038</v>
      </c>
      <c r="C372" s="56" t="s">
        <v>393</v>
      </c>
      <c r="D372" s="24">
        <v>8.5399999999999991</v>
      </c>
      <c r="E372" s="24">
        <v>7.42</v>
      </c>
      <c r="F372" s="24">
        <v>6.58</v>
      </c>
      <c r="G372" s="24">
        <v>8.1199999999999992</v>
      </c>
      <c r="H372" s="24">
        <v>9.1</v>
      </c>
      <c r="I372" s="24">
        <f>48.63-39.76</f>
        <v>8.8700000000000045</v>
      </c>
      <c r="J372" s="24">
        <f t="shared" si="30"/>
        <v>48.63</v>
      </c>
      <c r="K372" s="24">
        <v>5.6</v>
      </c>
      <c r="L372" s="25">
        <f t="shared" si="31"/>
        <v>54.230000000000004</v>
      </c>
    </row>
    <row r="373" spans="1:12">
      <c r="A373" s="26">
        <f t="shared" si="32"/>
        <v>25</v>
      </c>
      <c r="B373" s="45">
        <v>200940459</v>
      </c>
      <c r="C373" s="56" t="s">
        <v>394</v>
      </c>
      <c r="D373" s="24">
        <v>7</v>
      </c>
      <c r="E373" s="24">
        <v>4.2</v>
      </c>
      <c r="F373" s="24">
        <v>5.32</v>
      </c>
      <c r="G373" s="24">
        <v>5.04</v>
      </c>
      <c r="H373" s="24">
        <v>9.66</v>
      </c>
      <c r="I373" s="24">
        <f>41.37-29.82</f>
        <v>11.549999999999997</v>
      </c>
      <c r="J373" s="24">
        <f t="shared" si="30"/>
        <v>42.769999999999996</v>
      </c>
      <c r="K373" s="24">
        <v>8.6</v>
      </c>
      <c r="L373" s="25">
        <f t="shared" si="31"/>
        <v>51.37</v>
      </c>
    </row>
    <row r="374" spans="1:12">
      <c r="A374" s="26">
        <f t="shared" si="32"/>
        <v>26</v>
      </c>
      <c r="B374" s="57">
        <v>200940500</v>
      </c>
      <c r="C374" s="56" t="s">
        <v>395</v>
      </c>
      <c r="D374" s="24">
        <v>2.94</v>
      </c>
      <c r="E374" s="24">
        <v>3.78</v>
      </c>
      <c r="F374" s="24">
        <v>4.9000000000000004</v>
      </c>
      <c r="G374" s="24">
        <v>6.16</v>
      </c>
      <c r="H374" s="24">
        <v>3.64</v>
      </c>
      <c r="I374" s="24">
        <f>26.12-21.42</f>
        <v>4.6999999999999993</v>
      </c>
      <c r="J374" s="24">
        <f t="shared" si="30"/>
        <v>26.12</v>
      </c>
      <c r="K374" s="24" t="s">
        <v>475</v>
      </c>
      <c r="L374" s="25">
        <f>+J374</f>
        <v>26.12</v>
      </c>
    </row>
    <row r="375" spans="1:12">
      <c r="A375" s="26">
        <f t="shared" si="32"/>
        <v>27</v>
      </c>
      <c r="B375" s="45">
        <v>200940520</v>
      </c>
      <c r="C375" s="56" t="s">
        <v>396</v>
      </c>
      <c r="D375" s="24">
        <v>3.92</v>
      </c>
      <c r="E375" s="24">
        <v>4.2</v>
      </c>
      <c r="F375" s="24">
        <v>3.5</v>
      </c>
      <c r="G375" s="24">
        <v>4.4800000000000004</v>
      </c>
      <c r="H375" s="24">
        <v>0</v>
      </c>
      <c r="I375" s="24">
        <f>23.03-16.1</f>
        <v>6.93</v>
      </c>
      <c r="J375" s="24">
        <f t="shared" si="30"/>
        <v>23.03</v>
      </c>
      <c r="K375" s="24" t="s">
        <v>475</v>
      </c>
      <c r="L375" s="25">
        <f t="shared" ref="L375:L382" si="35">+J375</f>
        <v>23.03</v>
      </c>
    </row>
    <row r="376" spans="1:12">
      <c r="A376" s="26">
        <f t="shared" si="32"/>
        <v>28</v>
      </c>
      <c r="B376" s="45">
        <v>200940528</v>
      </c>
      <c r="C376" s="56" t="s">
        <v>397</v>
      </c>
      <c r="D376" s="24">
        <v>9.1</v>
      </c>
      <c r="E376" s="24">
        <v>0</v>
      </c>
      <c r="F376" s="24">
        <v>0</v>
      </c>
      <c r="G376" s="24">
        <v>0</v>
      </c>
      <c r="H376" s="24">
        <v>0</v>
      </c>
      <c r="I376" s="24">
        <f>10.76-9.1</f>
        <v>1.6600000000000001</v>
      </c>
      <c r="J376" s="24">
        <f t="shared" si="30"/>
        <v>10.76</v>
      </c>
      <c r="K376" s="24" t="s">
        <v>475</v>
      </c>
      <c r="L376" s="25">
        <f t="shared" si="35"/>
        <v>10.76</v>
      </c>
    </row>
    <row r="377" spans="1:12">
      <c r="A377" s="26">
        <f t="shared" si="32"/>
        <v>29</v>
      </c>
      <c r="B377" s="45">
        <v>200940536</v>
      </c>
      <c r="C377" s="56" t="s">
        <v>398</v>
      </c>
      <c r="D377" s="24">
        <v>2.2400000000000002</v>
      </c>
      <c r="E377" s="24">
        <v>3.5</v>
      </c>
      <c r="F377" s="24">
        <v>4.34</v>
      </c>
      <c r="G377" s="24">
        <v>0</v>
      </c>
      <c r="H377" s="24">
        <v>0</v>
      </c>
      <c r="I377" s="24">
        <f>13.26-10.08</f>
        <v>3.1799999999999997</v>
      </c>
      <c r="J377" s="24">
        <f t="shared" si="30"/>
        <v>13.26</v>
      </c>
      <c r="K377" s="24" t="s">
        <v>475</v>
      </c>
      <c r="L377" s="25">
        <f t="shared" si="35"/>
        <v>13.26</v>
      </c>
    </row>
    <row r="378" spans="1:12">
      <c r="A378" s="26">
        <f t="shared" si="32"/>
        <v>30</v>
      </c>
      <c r="B378" s="45">
        <v>200940876</v>
      </c>
      <c r="C378" s="56" t="s">
        <v>399</v>
      </c>
      <c r="D378" s="24">
        <v>2.94</v>
      </c>
      <c r="E378" s="24">
        <v>4.62</v>
      </c>
      <c r="F378" s="24">
        <v>7.98</v>
      </c>
      <c r="G378" s="24">
        <v>5.6</v>
      </c>
      <c r="H378" s="24">
        <v>3.92</v>
      </c>
      <c r="I378" s="24">
        <f>29.83-25.06</f>
        <v>4.7699999999999996</v>
      </c>
      <c r="J378" s="24">
        <f t="shared" si="30"/>
        <v>29.830000000000002</v>
      </c>
      <c r="K378" s="24" t="s">
        <v>475</v>
      </c>
      <c r="L378" s="25">
        <f t="shared" si="35"/>
        <v>29.830000000000002</v>
      </c>
    </row>
    <row r="379" spans="1:12">
      <c r="A379" s="26">
        <f t="shared" si="32"/>
        <v>31</v>
      </c>
      <c r="B379" s="45">
        <v>200940879</v>
      </c>
      <c r="C379" s="59" t="s">
        <v>400</v>
      </c>
      <c r="D379" s="24">
        <v>3.36</v>
      </c>
      <c r="E379" s="24">
        <v>4.62</v>
      </c>
      <c r="F379" s="24">
        <v>4.9000000000000004</v>
      </c>
      <c r="G379" s="24">
        <v>5.6</v>
      </c>
      <c r="H379" s="24">
        <v>0</v>
      </c>
      <c r="I379" s="24">
        <f>23.31-18.48</f>
        <v>4.8299999999999983</v>
      </c>
      <c r="J379" s="24">
        <f t="shared" si="30"/>
        <v>23.31</v>
      </c>
      <c r="K379" s="24" t="s">
        <v>475</v>
      </c>
      <c r="L379" s="25">
        <f t="shared" si="35"/>
        <v>23.31</v>
      </c>
    </row>
    <row r="380" spans="1:12">
      <c r="A380" s="26">
        <f t="shared" si="32"/>
        <v>32</v>
      </c>
      <c r="B380" s="57">
        <v>200941420</v>
      </c>
      <c r="C380" s="60" t="s">
        <v>401</v>
      </c>
      <c r="D380" s="24">
        <v>2.94</v>
      </c>
      <c r="E380" s="24">
        <v>4.34</v>
      </c>
      <c r="F380" s="24">
        <v>4.4800000000000004</v>
      </c>
      <c r="G380" s="24">
        <v>3.36</v>
      </c>
      <c r="H380" s="24">
        <v>0</v>
      </c>
      <c r="I380" s="24">
        <f>18.64-15.12</f>
        <v>3.5200000000000014</v>
      </c>
      <c r="J380" s="24">
        <f t="shared" si="30"/>
        <v>18.64</v>
      </c>
      <c r="K380" s="24" t="s">
        <v>475</v>
      </c>
      <c r="L380" s="25">
        <f t="shared" si="35"/>
        <v>18.64</v>
      </c>
    </row>
    <row r="381" spans="1:12">
      <c r="A381" s="26">
        <f t="shared" si="32"/>
        <v>33</v>
      </c>
      <c r="B381" s="57">
        <v>200942150</v>
      </c>
      <c r="C381" s="60" t="s">
        <v>402</v>
      </c>
      <c r="D381" s="24">
        <v>8.82</v>
      </c>
      <c r="E381" s="24">
        <v>0</v>
      </c>
      <c r="F381" s="24">
        <v>0</v>
      </c>
      <c r="G381" s="24">
        <v>0</v>
      </c>
      <c r="H381" s="24">
        <v>0</v>
      </c>
      <c r="I381" s="24">
        <f>10.48-8.82</f>
        <v>1.6600000000000001</v>
      </c>
      <c r="J381" s="24">
        <f t="shared" si="30"/>
        <v>10.48</v>
      </c>
      <c r="K381" s="24" t="s">
        <v>475</v>
      </c>
      <c r="L381" s="25">
        <f t="shared" si="35"/>
        <v>10.48</v>
      </c>
    </row>
    <row r="382" spans="1:12">
      <c r="A382" s="26">
        <f t="shared" si="32"/>
        <v>34</v>
      </c>
      <c r="B382" s="45">
        <v>200942163</v>
      </c>
      <c r="C382" s="56" t="s">
        <v>403</v>
      </c>
      <c r="D382" s="24">
        <v>2.2400000000000002</v>
      </c>
      <c r="E382" s="24">
        <v>4.34</v>
      </c>
      <c r="F382" s="24">
        <v>4.76</v>
      </c>
      <c r="G382" s="24">
        <v>0</v>
      </c>
      <c r="H382" s="24">
        <v>0</v>
      </c>
      <c r="I382" s="24">
        <f>13.04-11.34</f>
        <v>1.6999999999999993</v>
      </c>
      <c r="J382" s="24">
        <f t="shared" si="30"/>
        <v>13.04</v>
      </c>
      <c r="K382" s="24" t="s">
        <v>475</v>
      </c>
      <c r="L382" s="25">
        <f t="shared" si="35"/>
        <v>13.04</v>
      </c>
    </row>
    <row r="383" spans="1:12">
      <c r="A383" s="26">
        <f t="shared" si="32"/>
        <v>35</v>
      </c>
      <c r="B383" s="45">
        <v>200942665</v>
      </c>
      <c r="C383" s="59" t="s">
        <v>404</v>
      </c>
      <c r="D383" s="24">
        <v>5.6</v>
      </c>
      <c r="E383" s="24">
        <v>7.42</v>
      </c>
      <c r="F383" s="24">
        <v>5.74</v>
      </c>
      <c r="G383" s="24">
        <v>5.04</v>
      </c>
      <c r="H383" s="24">
        <v>2</v>
      </c>
      <c r="I383" s="24">
        <f>41.22-25.8</f>
        <v>15.419999999999998</v>
      </c>
      <c r="J383" s="24">
        <f t="shared" si="30"/>
        <v>41.22</v>
      </c>
      <c r="K383" s="24">
        <v>1.8</v>
      </c>
      <c r="L383" s="25">
        <f t="shared" si="31"/>
        <v>43.019999999999996</v>
      </c>
    </row>
    <row r="384" spans="1:12">
      <c r="A384" s="26">
        <f t="shared" si="32"/>
        <v>36</v>
      </c>
      <c r="B384" s="45">
        <v>200942674</v>
      </c>
      <c r="C384" s="56" t="s">
        <v>405</v>
      </c>
      <c r="D384" s="24">
        <v>3.64</v>
      </c>
      <c r="E384" s="24">
        <v>0</v>
      </c>
      <c r="F384" s="24">
        <v>0</v>
      </c>
      <c r="G384" s="24">
        <v>0</v>
      </c>
      <c r="H384" s="24">
        <v>0</v>
      </c>
      <c r="I384" s="24">
        <f>5.21-3.64</f>
        <v>1.5699999999999998</v>
      </c>
      <c r="J384" s="24">
        <f t="shared" si="30"/>
        <v>5.21</v>
      </c>
      <c r="K384" s="24" t="s">
        <v>475</v>
      </c>
      <c r="L384" s="25">
        <f>+J384</f>
        <v>5.21</v>
      </c>
    </row>
    <row r="385" spans="1:12">
      <c r="A385" s="26">
        <f t="shared" si="32"/>
        <v>37</v>
      </c>
      <c r="B385" s="45">
        <v>200942710</v>
      </c>
      <c r="C385" s="59" t="s">
        <v>406</v>
      </c>
      <c r="D385" s="24">
        <v>2.8</v>
      </c>
      <c r="E385" s="24">
        <v>4.34</v>
      </c>
      <c r="F385" s="24">
        <v>0</v>
      </c>
      <c r="G385" s="24">
        <v>0</v>
      </c>
      <c r="H385" s="24">
        <v>0</v>
      </c>
      <c r="I385" s="24">
        <f>9.77-7.14</f>
        <v>2.63</v>
      </c>
      <c r="J385" s="24">
        <f t="shared" si="30"/>
        <v>9.77</v>
      </c>
      <c r="K385" s="24" t="s">
        <v>475</v>
      </c>
      <c r="L385" s="25">
        <f>+J385</f>
        <v>9.77</v>
      </c>
    </row>
    <row r="386" spans="1:12">
      <c r="A386" s="26">
        <f t="shared" si="32"/>
        <v>38</v>
      </c>
      <c r="B386" s="45">
        <v>200942784</v>
      </c>
      <c r="C386" s="58" t="s">
        <v>407</v>
      </c>
      <c r="D386" s="24">
        <v>4.62</v>
      </c>
      <c r="E386" s="24">
        <v>7.14</v>
      </c>
      <c r="F386" s="24">
        <v>9.1</v>
      </c>
      <c r="G386" s="24">
        <v>10.92</v>
      </c>
      <c r="H386" s="24">
        <f>2-0.7</f>
        <v>1.3</v>
      </c>
      <c r="I386" s="24">
        <f>49.25-33.78</f>
        <v>15.469999999999999</v>
      </c>
      <c r="J386" s="24">
        <v>49.25</v>
      </c>
      <c r="K386" s="24">
        <v>12</v>
      </c>
      <c r="L386" s="25">
        <f t="shared" si="31"/>
        <v>61.25</v>
      </c>
    </row>
    <row r="387" spans="1:12">
      <c r="A387" s="26">
        <f t="shared" si="32"/>
        <v>39</v>
      </c>
      <c r="B387" s="45">
        <v>200942848</v>
      </c>
      <c r="C387" s="56" t="s">
        <v>408</v>
      </c>
      <c r="D387" s="24">
        <v>4.62</v>
      </c>
      <c r="E387" s="24">
        <v>0</v>
      </c>
      <c r="F387" s="24">
        <v>0</v>
      </c>
      <c r="G387" s="24">
        <v>0</v>
      </c>
      <c r="H387" s="24">
        <v>0</v>
      </c>
      <c r="I387" s="24">
        <f>6.2-4.62</f>
        <v>1.58</v>
      </c>
      <c r="J387" s="24">
        <f t="shared" si="30"/>
        <v>6.2</v>
      </c>
      <c r="K387" s="24" t="s">
        <v>475</v>
      </c>
      <c r="L387" s="25">
        <f>+J387</f>
        <v>6.2</v>
      </c>
    </row>
    <row r="388" spans="1:12">
      <c r="A388" s="26">
        <f t="shared" si="32"/>
        <v>40</v>
      </c>
      <c r="B388" s="45">
        <v>200942862</v>
      </c>
      <c r="C388" s="56" t="s">
        <v>409</v>
      </c>
      <c r="D388" s="24">
        <v>2.94</v>
      </c>
      <c r="E388" s="24">
        <v>4.76</v>
      </c>
      <c r="F388" s="24">
        <v>5.74</v>
      </c>
      <c r="G388" s="24">
        <v>5.6</v>
      </c>
      <c r="H388" s="24">
        <v>2</v>
      </c>
      <c r="I388" s="24">
        <f>25.68-21.04</f>
        <v>4.6400000000000006</v>
      </c>
      <c r="J388" s="24">
        <f t="shared" si="30"/>
        <v>25.680000000000003</v>
      </c>
      <c r="K388" s="24" t="s">
        <v>475</v>
      </c>
      <c r="L388" s="25">
        <f t="shared" ref="L388:L394" si="36">+J388</f>
        <v>25.680000000000003</v>
      </c>
    </row>
    <row r="389" spans="1:12">
      <c r="A389" s="26">
        <f t="shared" si="32"/>
        <v>41</v>
      </c>
      <c r="B389" s="57">
        <v>200942871</v>
      </c>
      <c r="C389" s="60" t="s">
        <v>410</v>
      </c>
      <c r="D389" s="24">
        <v>9.52</v>
      </c>
      <c r="E389" s="24">
        <v>4.34</v>
      </c>
      <c r="F389" s="24">
        <v>7.84</v>
      </c>
      <c r="G389" s="24">
        <v>5.6</v>
      </c>
      <c r="H389" s="24">
        <v>2</v>
      </c>
      <c r="I389" s="24">
        <f>31.29-29.3</f>
        <v>1.9899999999999984</v>
      </c>
      <c r="J389" s="24">
        <f t="shared" si="30"/>
        <v>31.29</v>
      </c>
      <c r="K389" s="24" t="s">
        <v>475</v>
      </c>
      <c r="L389" s="25">
        <f t="shared" si="36"/>
        <v>31.29</v>
      </c>
    </row>
    <row r="390" spans="1:12">
      <c r="A390" s="26">
        <f t="shared" si="32"/>
        <v>42</v>
      </c>
      <c r="B390" s="57">
        <v>200942929</v>
      </c>
      <c r="C390" s="60" t="s">
        <v>411</v>
      </c>
      <c r="D390" s="24">
        <v>2.2400000000000002</v>
      </c>
      <c r="E390" s="24">
        <v>3.5</v>
      </c>
      <c r="F390" s="24">
        <v>0</v>
      </c>
      <c r="G390" s="24">
        <v>0</v>
      </c>
      <c r="H390" s="24">
        <v>0</v>
      </c>
      <c r="I390" s="24">
        <f>7.34-5.74</f>
        <v>1.5999999999999996</v>
      </c>
      <c r="J390" s="24">
        <f t="shared" si="30"/>
        <v>7.34</v>
      </c>
      <c r="K390" s="24" t="s">
        <v>475</v>
      </c>
      <c r="L390" s="25">
        <f t="shared" si="36"/>
        <v>7.34</v>
      </c>
    </row>
    <row r="391" spans="1:12">
      <c r="A391" s="26">
        <f t="shared" si="32"/>
        <v>43</v>
      </c>
      <c r="B391" s="45">
        <v>200943135</v>
      </c>
      <c r="C391" s="56" t="s">
        <v>412</v>
      </c>
      <c r="D391" s="24">
        <v>3.5</v>
      </c>
      <c r="E391" s="24">
        <v>0</v>
      </c>
      <c r="F391" s="24">
        <v>0</v>
      </c>
      <c r="G391" s="24">
        <v>0</v>
      </c>
      <c r="H391" s="24">
        <v>0</v>
      </c>
      <c r="I391" s="24">
        <f>5.06-3.5</f>
        <v>1.5599999999999996</v>
      </c>
      <c r="J391" s="24">
        <f t="shared" si="30"/>
        <v>5.0599999999999996</v>
      </c>
      <c r="K391" s="24" t="s">
        <v>475</v>
      </c>
      <c r="L391" s="25">
        <f t="shared" si="36"/>
        <v>5.0599999999999996</v>
      </c>
    </row>
    <row r="392" spans="1:12">
      <c r="A392" s="26">
        <f t="shared" si="32"/>
        <v>44</v>
      </c>
      <c r="B392" s="45">
        <v>200943323</v>
      </c>
      <c r="C392" s="59" t="s">
        <v>413</v>
      </c>
      <c r="D392" s="24">
        <v>2.52</v>
      </c>
      <c r="E392" s="24">
        <v>4.0599999999999996</v>
      </c>
      <c r="F392" s="24">
        <v>0.56000000000000005</v>
      </c>
      <c r="G392" s="24">
        <v>3.64</v>
      </c>
      <c r="H392" s="24">
        <v>1.75</v>
      </c>
      <c r="I392" s="24">
        <f>14.22-12.53</f>
        <v>1.6900000000000013</v>
      </c>
      <c r="J392" s="24">
        <f t="shared" si="30"/>
        <v>14.220000000000002</v>
      </c>
      <c r="K392" s="24" t="s">
        <v>475</v>
      </c>
      <c r="L392" s="25">
        <f t="shared" si="36"/>
        <v>14.220000000000002</v>
      </c>
    </row>
    <row r="393" spans="1:12">
      <c r="A393" s="26">
        <f t="shared" si="32"/>
        <v>45</v>
      </c>
      <c r="B393" s="45">
        <v>200943325</v>
      </c>
      <c r="C393" s="56" t="s">
        <v>414</v>
      </c>
      <c r="D393" s="24">
        <v>2.2400000000000002</v>
      </c>
      <c r="E393" s="24">
        <v>3.64</v>
      </c>
      <c r="F393" s="24">
        <v>6.86</v>
      </c>
      <c r="G393" s="24">
        <v>5.04</v>
      </c>
      <c r="H393" s="24">
        <v>1.75</v>
      </c>
      <c r="I393" s="24">
        <f>21.51-19.53</f>
        <v>1.9800000000000004</v>
      </c>
      <c r="J393" s="24">
        <f t="shared" si="30"/>
        <v>21.509999999999998</v>
      </c>
      <c r="K393" s="24" t="s">
        <v>475</v>
      </c>
      <c r="L393" s="25">
        <f t="shared" si="36"/>
        <v>21.509999999999998</v>
      </c>
    </row>
    <row r="394" spans="1:12">
      <c r="A394" s="26">
        <f t="shared" si="32"/>
        <v>46</v>
      </c>
      <c r="B394" s="45">
        <v>200943358</v>
      </c>
      <c r="C394" s="56" t="s">
        <v>415</v>
      </c>
      <c r="D394" s="24">
        <v>2.2400000000000002</v>
      </c>
      <c r="E394" s="24">
        <v>5.04</v>
      </c>
      <c r="F394" s="24">
        <v>5.74</v>
      </c>
      <c r="G394" s="24">
        <v>0</v>
      </c>
      <c r="H394" s="24">
        <v>0</v>
      </c>
      <c r="I394" s="24">
        <f>14.75-13.02</f>
        <v>1.7300000000000004</v>
      </c>
      <c r="J394" s="24">
        <f t="shared" si="30"/>
        <v>14.750000000000002</v>
      </c>
      <c r="K394" s="24" t="s">
        <v>475</v>
      </c>
      <c r="L394" s="25">
        <f t="shared" si="36"/>
        <v>14.750000000000002</v>
      </c>
    </row>
    <row r="395" spans="1:12">
      <c r="A395" s="26">
        <f t="shared" si="32"/>
        <v>47</v>
      </c>
      <c r="B395" s="45">
        <v>200943362</v>
      </c>
      <c r="C395" s="56" t="s">
        <v>416</v>
      </c>
      <c r="D395" s="24">
        <v>6.3</v>
      </c>
      <c r="E395" s="24">
        <v>6.16</v>
      </c>
      <c r="F395" s="24">
        <v>8.9600000000000009</v>
      </c>
      <c r="G395" s="24">
        <v>6.72</v>
      </c>
      <c r="H395" s="24">
        <v>1.75</v>
      </c>
      <c r="I395" s="24">
        <f>43.35-29.89</f>
        <v>13.46</v>
      </c>
      <c r="J395" s="24">
        <f t="shared" si="30"/>
        <v>43.349999999999994</v>
      </c>
      <c r="K395" s="24" t="s">
        <v>476</v>
      </c>
      <c r="L395" s="25">
        <v>43.35</v>
      </c>
    </row>
    <row r="396" spans="1:12">
      <c r="A396" s="26">
        <f t="shared" si="32"/>
        <v>48</v>
      </c>
      <c r="B396" s="45">
        <v>200943370</v>
      </c>
      <c r="C396" s="60" t="s">
        <v>417</v>
      </c>
      <c r="D396" s="24">
        <v>3.5</v>
      </c>
      <c r="E396" s="24">
        <v>3.92</v>
      </c>
      <c r="F396" s="24">
        <v>7.7</v>
      </c>
      <c r="G396" s="24">
        <v>0</v>
      </c>
      <c r="H396" s="24">
        <v>0</v>
      </c>
      <c r="I396" s="24">
        <f>17.89-15.12</f>
        <v>2.7700000000000014</v>
      </c>
      <c r="J396" s="24">
        <f t="shared" si="30"/>
        <v>17.89</v>
      </c>
      <c r="K396" s="24" t="s">
        <v>475</v>
      </c>
      <c r="L396" s="25">
        <f>+J396</f>
        <v>17.89</v>
      </c>
    </row>
    <row r="397" spans="1:12">
      <c r="A397" s="26">
        <f t="shared" si="32"/>
        <v>49</v>
      </c>
      <c r="B397" s="45">
        <v>200943372</v>
      </c>
      <c r="C397" s="60" t="s">
        <v>418</v>
      </c>
      <c r="D397" s="24">
        <v>2.94</v>
      </c>
      <c r="E397" s="24">
        <v>3.36</v>
      </c>
      <c r="F397" s="24">
        <v>3.92</v>
      </c>
      <c r="G397" s="24">
        <v>3.36</v>
      </c>
      <c r="H397" s="24">
        <v>1.75</v>
      </c>
      <c r="I397" s="24">
        <f>18.07-15.33</f>
        <v>2.74</v>
      </c>
      <c r="J397" s="24">
        <f t="shared" si="30"/>
        <v>18.07</v>
      </c>
      <c r="K397" s="24" t="s">
        <v>475</v>
      </c>
      <c r="L397" s="25">
        <f>+J397</f>
        <v>18.07</v>
      </c>
    </row>
    <row r="398" spans="1:12">
      <c r="A398" s="26">
        <f t="shared" si="32"/>
        <v>50</v>
      </c>
      <c r="B398" s="45">
        <v>200943511</v>
      </c>
      <c r="C398" s="56" t="s">
        <v>419</v>
      </c>
      <c r="D398" s="62">
        <v>3.92</v>
      </c>
      <c r="E398" s="24">
        <v>7.84</v>
      </c>
      <c r="F398" s="24">
        <v>8.4</v>
      </c>
      <c r="G398" s="24">
        <v>9.52</v>
      </c>
      <c r="H398" s="24">
        <v>2</v>
      </c>
      <c r="I398" s="24">
        <f>48.66-31.68</f>
        <v>16.979999999999997</v>
      </c>
      <c r="J398" s="24">
        <f t="shared" si="30"/>
        <v>48.66</v>
      </c>
      <c r="K398" s="24">
        <v>5.2</v>
      </c>
      <c r="L398" s="25">
        <f t="shared" si="31"/>
        <v>53.86</v>
      </c>
    </row>
    <row r="399" spans="1:12">
      <c r="A399" s="26">
        <f t="shared" si="32"/>
        <v>51</v>
      </c>
      <c r="B399" s="45">
        <v>200943638</v>
      </c>
      <c r="C399" s="60" t="s">
        <v>420</v>
      </c>
      <c r="D399" s="24">
        <v>2.94</v>
      </c>
      <c r="E399" s="24">
        <v>3.22</v>
      </c>
      <c r="F399" s="24">
        <v>4.2</v>
      </c>
      <c r="G399" s="24">
        <v>3.36</v>
      </c>
      <c r="H399" s="24">
        <v>1.75</v>
      </c>
      <c r="I399" s="24">
        <f>18.22-15.47</f>
        <v>2.7499999999999982</v>
      </c>
      <c r="J399" s="24">
        <f t="shared" si="30"/>
        <v>18.22</v>
      </c>
      <c r="K399" s="24" t="s">
        <v>475</v>
      </c>
      <c r="L399" s="25">
        <f>+J399</f>
        <v>18.22</v>
      </c>
    </row>
    <row r="400" spans="1:12">
      <c r="A400" s="26">
        <f t="shared" si="32"/>
        <v>52</v>
      </c>
      <c r="B400" s="45">
        <v>200943718</v>
      </c>
      <c r="C400" s="60" t="s">
        <v>421</v>
      </c>
      <c r="D400" s="24">
        <v>8.5399999999999991</v>
      </c>
      <c r="E400" s="24">
        <v>5.74</v>
      </c>
      <c r="F400" s="24">
        <v>7.7</v>
      </c>
      <c r="G400" s="24">
        <v>6.44</v>
      </c>
      <c r="H400" s="24">
        <v>2</v>
      </c>
      <c r="I400" s="24">
        <f>44.8-30.42</f>
        <v>14.379999999999995</v>
      </c>
      <c r="J400" s="24">
        <f t="shared" si="30"/>
        <v>44.8</v>
      </c>
      <c r="K400" s="24">
        <v>4</v>
      </c>
      <c r="L400" s="25">
        <f t="shared" si="31"/>
        <v>48.8</v>
      </c>
    </row>
    <row r="401" spans="1:12">
      <c r="A401" s="26">
        <f t="shared" si="32"/>
        <v>53</v>
      </c>
      <c r="B401" s="45">
        <v>200944070</v>
      </c>
      <c r="C401" s="60" t="s">
        <v>422</v>
      </c>
      <c r="D401" s="24">
        <v>6.16</v>
      </c>
      <c r="E401" s="24">
        <v>0</v>
      </c>
      <c r="F401" s="24">
        <v>0</v>
      </c>
      <c r="G401" s="24">
        <v>0</v>
      </c>
      <c r="H401" s="24">
        <v>0</v>
      </c>
      <c r="I401" s="24">
        <f>7.77-6.16</f>
        <v>1.6099999999999994</v>
      </c>
      <c r="J401" s="24">
        <f t="shared" si="30"/>
        <v>7.77</v>
      </c>
      <c r="K401" s="24" t="s">
        <v>475</v>
      </c>
      <c r="L401" s="25">
        <f>+J401</f>
        <v>7.77</v>
      </c>
    </row>
    <row r="402" spans="1:12">
      <c r="A402" s="26">
        <f t="shared" si="32"/>
        <v>54</v>
      </c>
      <c r="B402" s="45">
        <v>200946028</v>
      </c>
      <c r="C402" s="60" t="s">
        <v>423</v>
      </c>
      <c r="D402" s="24">
        <v>4.2</v>
      </c>
      <c r="E402" s="24">
        <v>3.22</v>
      </c>
      <c r="F402" s="24">
        <v>5.04</v>
      </c>
      <c r="G402" s="24">
        <v>3.36</v>
      </c>
      <c r="H402" s="24">
        <v>1.75</v>
      </c>
      <c r="I402" s="24">
        <f>19.35-17.57</f>
        <v>1.7800000000000011</v>
      </c>
      <c r="J402" s="24">
        <f t="shared" si="30"/>
        <v>19.350000000000001</v>
      </c>
      <c r="K402" s="24" t="s">
        <v>475</v>
      </c>
      <c r="L402" s="25">
        <f t="shared" ref="L402:L404" si="37">+J402</f>
        <v>19.350000000000001</v>
      </c>
    </row>
    <row r="403" spans="1:12">
      <c r="A403" s="26">
        <f t="shared" si="32"/>
        <v>55</v>
      </c>
      <c r="B403" s="45">
        <v>200980056</v>
      </c>
      <c r="C403" s="60" t="s">
        <v>424</v>
      </c>
      <c r="D403" s="24">
        <v>6.86</v>
      </c>
      <c r="E403" s="24">
        <v>6.58</v>
      </c>
      <c r="F403" s="24">
        <v>0</v>
      </c>
      <c r="G403" s="24">
        <v>0</v>
      </c>
      <c r="H403" s="24">
        <v>0</v>
      </c>
      <c r="I403" s="24">
        <f>15.18-13.44</f>
        <v>1.7400000000000002</v>
      </c>
      <c r="J403" s="24">
        <f t="shared" si="30"/>
        <v>15.18</v>
      </c>
      <c r="K403" s="24" t="s">
        <v>475</v>
      </c>
      <c r="L403" s="25">
        <f t="shared" si="37"/>
        <v>15.18</v>
      </c>
    </row>
    <row r="404" spans="1:12">
      <c r="A404" s="26">
        <f t="shared" si="32"/>
        <v>56</v>
      </c>
      <c r="B404" s="45">
        <v>200946343</v>
      </c>
      <c r="C404" s="60" t="s">
        <v>425</v>
      </c>
      <c r="D404" s="24">
        <v>2.94</v>
      </c>
      <c r="E404" s="24">
        <v>6.3</v>
      </c>
      <c r="F404" s="24">
        <v>4.4800000000000004</v>
      </c>
      <c r="G404" s="24">
        <v>6.72</v>
      </c>
      <c r="H404" s="24">
        <v>1.75</v>
      </c>
      <c r="I404" s="24">
        <f>25.06-22.19</f>
        <v>2.8699999999999974</v>
      </c>
      <c r="J404" s="24">
        <f t="shared" si="30"/>
        <v>25.06</v>
      </c>
      <c r="K404" s="24" t="s">
        <v>475</v>
      </c>
      <c r="L404" s="25">
        <f t="shared" si="37"/>
        <v>25.06</v>
      </c>
    </row>
    <row r="405" spans="1:12">
      <c r="A405" s="29"/>
      <c r="B405" s="29"/>
      <c r="C405" s="30"/>
      <c r="D405" s="31"/>
      <c r="E405" s="31"/>
      <c r="F405" s="31"/>
      <c r="G405" s="31"/>
      <c r="H405" s="31"/>
      <c r="I405" s="31"/>
      <c r="J405" s="31"/>
      <c r="K405" s="31"/>
      <c r="L405" s="32"/>
    </row>
    <row r="406" spans="1:12">
      <c r="A406" s="29"/>
      <c r="B406" s="29"/>
      <c r="C406" s="30"/>
      <c r="D406" s="31"/>
      <c r="E406" s="31"/>
      <c r="F406" s="31"/>
      <c r="G406" s="31"/>
      <c r="H406" s="31"/>
      <c r="I406" s="31"/>
      <c r="J406" s="31"/>
      <c r="K406" s="31"/>
      <c r="L406" s="32"/>
    </row>
    <row r="407" spans="1:12" ht="17.25" thickBot="1">
      <c r="A407" s="33"/>
      <c r="B407" s="33"/>
      <c r="C407" s="34"/>
      <c r="D407" s="31"/>
      <c r="E407" s="31"/>
      <c r="F407" s="31"/>
      <c r="G407" s="31"/>
      <c r="H407" s="35"/>
      <c r="I407" s="35"/>
      <c r="J407" s="35"/>
      <c r="K407" s="9"/>
      <c r="L407" s="32"/>
    </row>
    <row r="408" spans="1:12">
      <c r="H408" s="100" t="s">
        <v>439</v>
      </c>
      <c r="I408" s="100"/>
      <c r="J408" s="100"/>
      <c r="L408" s="1"/>
    </row>
    <row r="409" spans="1:12">
      <c r="D409" s="36"/>
      <c r="H409" s="100" t="s">
        <v>430</v>
      </c>
      <c r="I409" s="100"/>
      <c r="J409" s="100"/>
      <c r="L409" s="1"/>
    </row>
    <row r="410" spans="1:12">
      <c r="D410" s="36"/>
      <c r="H410" s="100" t="s">
        <v>440</v>
      </c>
      <c r="I410" s="100"/>
      <c r="J410" s="100"/>
      <c r="L410" s="1"/>
    </row>
    <row r="421" spans="1:12" ht="17.25" thickBot="1">
      <c r="A421" s="1" t="s">
        <v>0</v>
      </c>
      <c r="I421" s="3"/>
    </row>
    <row r="422" spans="1:12">
      <c r="A422" s="1" t="s">
        <v>1</v>
      </c>
      <c r="F422" s="4"/>
      <c r="G422" s="5"/>
      <c r="H422" s="6"/>
      <c r="I422" s="7"/>
    </row>
    <row r="423" spans="1:12">
      <c r="A423" s="8" t="s">
        <v>2</v>
      </c>
      <c r="B423" s="9"/>
      <c r="E423" s="7"/>
      <c r="F423" s="10"/>
      <c r="G423" s="11"/>
      <c r="H423" s="12"/>
      <c r="I423" s="7"/>
    </row>
    <row r="424" spans="1:12" ht="17.25" thickBot="1">
      <c r="A424" s="13" t="s">
        <v>3</v>
      </c>
      <c r="B424" s="9"/>
      <c r="E424" s="7"/>
      <c r="F424" s="10"/>
      <c r="G424" s="11"/>
      <c r="H424" s="12"/>
      <c r="I424" s="7"/>
    </row>
    <row r="425" spans="1:12" ht="17.25" thickBot="1">
      <c r="A425" s="14" t="s">
        <v>22</v>
      </c>
      <c r="B425" s="15"/>
      <c r="C425" s="16"/>
      <c r="E425" s="7"/>
      <c r="F425" s="17"/>
      <c r="G425" s="18"/>
      <c r="H425" s="19"/>
      <c r="I425" s="7"/>
    </row>
    <row r="426" spans="1:12">
      <c r="A426" s="8"/>
      <c r="B426" s="9"/>
      <c r="E426" s="7"/>
      <c r="I426" s="3"/>
    </row>
    <row r="427" spans="1:12">
      <c r="A427" s="1" t="s">
        <v>91</v>
      </c>
      <c r="B427" s="9"/>
      <c r="C427" s="20" t="s">
        <v>300</v>
      </c>
      <c r="E427" s="7"/>
      <c r="I427" s="3"/>
    </row>
    <row r="428" spans="1:12">
      <c r="A428" s="1" t="s">
        <v>4</v>
      </c>
      <c r="C428" s="20" t="s">
        <v>437</v>
      </c>
      <c r="I428" s="3"/>
    </row>
    <row r="429" spans="1:12">
      <c r="A429" s="1" t="s">
        <v>5</v>
      </c>
      <c r="C429" s="20" t="s">
        <v>438</v>
      </c>
    </row>
    <row r="430" spans="1:12">
      <c r="A430" s="21"/>
      <c r="B430" s="21"/>
      <c r="C430" s="21"/>
      <c r="D430" s="21"/>
      <c r="E430" s="21"/>
      <c r="F430" s="21"/>
      <c r="G430" s="21"/>
      <c r="H430" s="21"/>
      <c r="I430" s="21"/>
      <c r="J430" s="21"/>
    </row>
    <row r="431" spans="1:12">
      <c r="A431" s="1"/>
      <c r="C431" s="22" t="s">
        <v>6</v>
      </c>
      <c r="D431" s="22" t="s">
        <v>441</v>
      </c>
      <c r="E431" s="22" t="s">
        <v>441</v>
      </c>
      <c r="F431" s="22" t="s">
        <v>441</v>
      </c>
      <c r="G431" s="22" t="s">
        <v>441</v>
      </c>
      <c r="H431" s="22" t="s">
        <v>441</v>
      </c>
      <c r="I431" s="22" t="s">
        <v>442</v>
      </c>
      <c r="J431" s="22" t="s">
        <v>8</v>
      </c>
      <c r="K431" s="22" t="s">
        <v>7</v>
      </c>
      <c r="L431" s="22" t="s">
        <v>9</v>
      </c>
    </row>
    <row r="432" spans="1:12">
      <c r="A432" s="22" t="s">
        <v>10</v>
      </c>
      <c r="B432" s="22" t="s">
        <v>11</v>
      </c>
      <c r="C432" s="22" t="s">
        <v>12</v>
      </c>
      <c r="D432" s="22" t="s">
        <v>13</v>
      </c>
      <c r="E432" s="22" t="s">
        <v>14</v>
      </c>
      <c r="F432" s="22" t="s">
        <v>15</v>
      </c>
      <c r="G432" s="22" t="s">
        <v>16</v>
      </c>
      <c r="H432" s="22" t="s">
        <v>17</v>
      </c>
      <c r="I432" s="22" t="s">
        <v>95</v>
      </c>
      <c r="J432" s="22" t="s">
        <v>18</v>
      </c>
      <c r="K432" s="22" t="s">
        <v>19</v>
      </c>
      <c r="L432" s="22" t="s">
        <v>20</v>
      </c>
    </row>
    <row r="433" spans="1:12">
      <c r="A433" s="23">
        <v>1</v>
      </c>
      <c r="B433" s="45">
        <v>200617648</v>
      </c>
      <c r="C433" s="56" t="s">
        <v>302</v>
      </c>
      <c r="D433" s="24">
        <v>6.16</v>
      </c>
      <c r="E433" s="24">
        <v>0</v>
      </c>
      <c r="F433" s="24">
        <v>4.4800000000000004</v>
      </c>
      <c r="G433" s="24">
        <v>0</v>
      </c>
      <c r="H433" s="24">
        <v>0</v>
      </c>
      <c r="I433" s="24">
        <f>22.52-10.64</f>
        <v>11.879999999999999</v>
      </c>
      <c r="J433" s="24">
        <f>+I433+H433+G433+F433+E433+D433</f>
        <v>22.52</v>
      </c>
      <c r="K433" s="24" t="s">
        <v>475</v>
      </c>
      <c r="L433" s="25">
        <f>+J433</f>
        <v>22.52</v>
      </c>
    </row>
    <row r="434" spans="1:12">
      <c r="A434" s="23">
        <f>1+A433</f>
        <v>2</v>
      </c>
      <c r="B434" s="45">
        <v>200741790</v>
      </c>
      <c r="C434" s="56" t="s">
        <v>303</v>
      </c>
      <c r="D434" s="24">
        <v>3.5</v>
      </c>
      <c r="E434" s="24">
        <v>5.04</v>
      </c>
      <c r="F434" s="24">
        <v>5.04</v>
      </c>
      <c r="G434" s="24">
        <v>0</v>
      </c>
      <c r="H434" s="24">
        <v>0</v>
      </c>
      <c r="I434" s="24">
        <f>1.5+1.15+0.5</f>
        <v>3.15</v>
      </c>
      <c r="J434" s="24">
        <f t="shared" ref="J434:J435" si="38">+I434+H434+G434+F434+E434+D434</f>
        <v>16.73</v>
      </c>
      <c r="K434" s="24" t="s">
        <v>475</v>
      </c>
      <c r="L434" s="25">
        <f t="shared" ref="L434:L437" si="39">+J434</f>
        <v>16.73</v>
      </c>
    </row>
    <row r="435" spans="1:12">
      <c r="A435" s="23">
        <f t="shared" ref="A435:A490" si="40">1+A434</f>
        <v>3</v>
      </c>
      <c r="B435" s="45">
        <v>200742802</v>
      </c>
      <c r="C435" s="56" t="s">
        <v>307</v>
      </c>
      <c r="D435" s="24">
        <v>5.04</v>
      </c>
      <c r="E435" s="24">
        <v>3.64</v>
      </c>
      <c r="F435" s="24">
        <v>4.62</v>
      </c>
      <c r="G435" s="24">
        <v>4.76</v>
      </c>
      <c r="H435" s="24">
        <v>0</v>
      </c>
      <c r="I435" s="24">
        <f>23.33-18.06</f>
        <v>5.27</v>
      </c>
      <c r="J435" s="24">
        <f t="shared" si="38"/>
        <v>23.33</v>
      </c>
      <c r="K435" s="24" t="s">
        <v>475</v>
      </c>
      <c r="L435" s="25">
        <f t="shared" si="39"/>
        <v>23.33</v>
      </c>
    </row>
    <row r="436" spans="1:12">
      <c r="A436" s="23">
        <f t="shared" si="40"/>
        <v>4</v>
      </c>
      <c r="B436" s="45">
        <v>200821585</v>
      </c>
      <c r="C436" s="59" t="s">
        <v>308</v>
      </c>
      <c r="D436" s="24">
        <v>2.94</v>
      </c>
      <c r="E436" s="24">
        <v>3.36</v>
      </c>
      <c r="F436" s="24">
        <v>4.0599999999999996</v>
      </c>
      <c r="G436" s="24">
        <v>3.64</v>
      </c>
      <c r="H436" s="24">
        <v>0</v>
      </c>
      <c r="I436" s="24">
        <f>21.15-14</f>
        <v>7.1499999999999986</v>
      </c>
      <c r="J436" s="24">
        <f t="shared" ref="J436:J490" si="41">+I436+H436+G436+F436+E436+D436</f>
        <v>21.15</v>
      </c>
      <c r="K436" s="24" t="s">
        <v>475</v>
      </c>
      <c r="L436" s="25">
        <f t="shared" si="39"/>
        <v>21.15</v>
      </c>
    </row>
    <row r="437" spans="1:12">
      <c r="A437" s="23">
        <f t="shared" si="40"/>
        <v>5</v>
      </c>
      <c r="B437" s="45">
        <v>200840049</v>
      </c>
      <c r="C437" s="56" t="s">
        <v>309</v>
      </c>
      <c r="D437" s="24">
        <v>3.92</v>
      </c>
      <c r="E437" s="24">
        <v>6.16</v>
      </c>
      <c r="F437" s="24">
        <v>7</v>
      </c>
      <c r="G437" s="24">
        <v>4.4800000000000004</v>
      </c>
      <c r="H437" s="24">
        <v>3.36</v>
      </c>
      <c r="I437" s="24">
        <f>32.88-24.92</f>
        <v>7.9600000000000009</v>
      </c>
      <c r="J437" s="24">
        <f t="shared" si="41"/>
        <v>32.880000000000003</v>
      </c>
      <c r="K437" s="24" t="s">
        <v>475</v>
      </c>
      <c r="L437" s="25">
        <f t="shared" si="39"/>
        <v>32.880000000000003</v>
      </c>
    </row>
    <row r="438" spans="1:12">
      <c r="A438" s="23">
        <f t="shared" si="40"/>
        <v>6</v>
      </c>
      <c r="B438" s="45">
        <v>200840151</v>
      </c>
      <c r="C438" s="60" t="s">
        <v>310</v>
      </c>
      <c r="D438" s="24">
        <v>13.16</v>
      </c>
      <c r="E438" s="24">
        <v>10.220000000000001</v>
      </c>
      <c r="F438" s="24">
        <v>12.04</v>
      </c>
      <c r="G438" s="24">
        <v>9.8000000000000007</v>
      </c>
      <c r="H438" s="24">
        <v>8.5399999999999991</v>
      </c>
      <c r="I438" s="24">
        <f>62.77-53.76</f>
        <v>9.0100000000000051</v>
      </c>
      <c r="J438" s="24">
        <f t="shared" si="41"/>
        <v>62.769999999999996</v>
      </c>
      <c r="K438" s="24">
        <v>15.4</v>
      </c>
      <c r="L438" s="25">
        <f t="shared" ref="L438:L483" si="42">+K438+J438</f>
        <v>78.17</v>
      </c>
    </row>
    <row r="439" spans="1:12">
      <c r="A439" s="23">
        <f t="shared" si="40"/>
        <v>7</v>
      </c>
      <c r="B439" s="45">
        <v>200840154</v>
      </c>
      <c r="C439" s="56" t="s">
        <v>311</v>
      </c>
      <c r="D439" s="24">
        <v>9.8000000000000007</v>
      </c>
      <c r="E439" s="24">
        <v>8.5399999999999991</v>
      </c>
      <c r="F439" s="24">
        <v>12.6</v>
      </c>
      <c r="G439" s="24">
        <v>8.1199999999999992</v>
      </c>
      <c r="H439" s="24">
        <v>8.9600000000000009</v>
      </c>
      <c r="I439" s="24">
        <f>56.94-48.02</f>
        <v>8.9199999999999946</v>
      </c>
      <c r="J439" s="24">
        <f t="shared" si="41"/>
        <v>56.94</v>
      </c>
      <c r="K439" s="24">
        <v>8.6</v>
      </c>
      <c r="L439" s="25">
        <f t="shared" si="42"/>
        <v>65.539999999999992</v>
      </c>
    </row>
    <row r="440" spans="1:12">
      <c r="A440" s="23">
        <f t="shared" si="40"/>
        <v>8</v>
      </c>
      <c r="B440" s="45">
        <v>200840225</v>
      </c>
      <c r="C440" s="60" t="s">
        <v>312</v>
      </c>
      <c r="D440" s="24">
        <v>6.86</v>
      </c>
      <c r="E440" s="24">
        <v>5.46</v>
      </c>
      <c r="F440" s="24">
        <v>5.32</v>
      </c>
      <c r="G440" s="24">
        <f>+H440</f>
        <v>4.4800000000000004</v>
      </c>
      <c r="H440" s="24">
        <v>4.4800000000000004</v>
      </c>
      <c r="I440" s="24">
        <f>29.35-26.6</f>
        <v>2.75</v>
      </c>
      <c r="J440" s="24">
        <f t="shared" si="41"/>
        <v>29.35</v>
      </c>
      <c r="K440" s="24" t="s">
        <v>475</v>
      </c>
      <c r="L440" s="25">
        <f>+J440</f>
        <v>29.35</v>
      </c>
    </row>
    <row r="441" spans="1:12">
      <c r="A441" s="23">
        <f t="shared" si="40"/>
        <v>9</v>
      </c>
      <c r="B441" s="45">
        <v>200841793</v>
      </c>
      <c r="C441" s="56" t="s">
        <v>313</v>
      </c>
      <c r="D441" s="24">
        <v>2.8</v>
      </c>
      <c r="E441" s="24">
        <v>4.2</v>
      </c>
      <c r="F441" s="24">
        <v>2.52</v>
      </c>
      <c r="G441" s="24">
        <v>0</v>
      </c>
      <c r="H441" s="24">
        <v>0</v>
      </c>
      <c r="I441" s="24">
        <f>12.19-9.52</f>
        <v>2.67</v>
      </c>
      <c r="J441" s="24">
        <f t="shared" si="41"/>
        <v>12.190000000000001</v>
      </c>
      <c r="K441" s="24" t="s">
        <v>475</v>
      </c>
      <c r="L441" s="25">
        <f t="shared" ref="L441:L444" si="43">+J441</f>
        <v>12.190000000000001</v>
      </c>
    </row>
    <row r="442" spans="1:12">
      <c r="A442" s="23">
        <f t="shared" si="40"/>
        <v>10</v>
      </c>
      <c r="B442" s="45">
        <v>200842036</v>
      </c>
      <c r="C442" s="59" t="s">
        <v>314</v>
      </c>
      <c r="D442" s="24">
        <v>4.9000000000000004</v>
      </c>
      <c r="E442" s="24">
        <v>6.44</v>
      </c>
      <c r="F442" s="24">
        <v>4.34</v>
      </c>
      <c r="G442" s="24">
        <v>0</v>
      </c>
      <c r="H442" s="24">
        <v>0</v>
      </c>
      <c r="I442" s="24">
        <f>18.46-15.68</f>
        <v>2.7800000000000011</v>
      </c>
      <c r="J442" s="24">
        <f t="shared" si="41"/>
        <v>18.46</v>
      </c>
      <c r="K442" s="24" t="s">
        <v>475</v>
      </c>
      <c r="L442" s="25">
        <f t="shared" si="43"/>
        <v>18.46</v>
      </c>
    </row>
    <row r="443" spans="1:12">
      <c r="A443" s="23">
        <f t="shared" si="40"/>
        <v>11</v>
      </c>
      <c r="B443" s="45">
        <v>200842047</v>
      </c>
      <c r="C443" s="56" t="s">
        <v>315</v>
      </c>
      <c r="D443" s="24">
        <v>2.94</v>
      </c>
      <c r="E443" s="24">
        <v>4.34</v>
      </c>
      <c r="F443" s="24">
        <v>4.4800000000000004</v>
      </c>
      <c r="G443" s="24">
        <v>5.6</v>
      </c>
      <c r="H443" s="24">
        <v>2.8</v>
      </c>
      <c r="I443" s="24">
        <f>28.47-20.16</f>
        <v>8.3099999999999987</v>
      </c>
      <c r="J443" s="24">
        <f t="shared" si="41"/>
        <v>28.470000000000002</v>
      </c>
      <c r="K443" s="24" t="s">
        <v>475</v>
      </c>
      <c r="L443" s="25">
        <f t="shared" si="43"/>
        <v>28.470000000000002</v>
      </c>
    </row>
    <row r="444" spans="1:12">
      <c r="A444" s="23">
        <f t="shared" si="40"/>
        <v>12</v>
      </c>
      <c r="B444" s="45">
        <v>200842050</v>
      </c>
      <c r="C444" s="56" t="s">
        <v>316</v>
      </c>
      <c r="D444" s="24">
        <v>6.16</v>
      </c>
      <c r="E444" s="24">
        <v>7.14</v>
      </c>
      <c r="F444" s="24">
        <v>5.46</v>
      </c>
      <c r="G444" s="24">
        <v>6.72</v>
      </c>
      <c r="H444" s="24">
        <v>0</v>
      </c>
      <c r="I444" s="24">
        <f>29.19-25.48</f>
        <v>3.7100000000000009</v>
      </c>
      <c r="J444" s="24">
        <f t="shared" si="41"/>
        <v>29.19</v>
      </c>
      <c r="K444" s="24" t="s">
        <v>475</v>
      </c>
      <c r="L444" s="25">
        <f t="shared" si="43"/>
        <v>29.19</v>
      </c>
    </row>
    <row r="445" spans="1:12">
      <c r="A445" s="23">
        <f t="shared" si="40"/>
        <v>13</v>
      </c>
      <c r="B445" s="45">
        <v>200842059</v>
      </c>
      <c r="C445" s="59" t="s">
        <v>317</v>
      </c>
      <c r="D445" s="24">
        <v>11.06</v>
      </c>
      <c r="E445" s="24">
        <v>7.98</v>
      </c>
      <c r="F445" s="24">
        <v>9.94</v>
      </c>
      <c r="G445" s="24">
        <v>9.24</v>
      </c>
      <c r="H445" s="28">
        <v>8.9600000000000009</v>
      </c>
      <c r="I445" s="28">
        <f>56.18-47.18</f>
        <v>9</v>
      </c>
      <c r="J445" s="24">
        <f t="shared" si="41"/>
        <v>56.180000000000007</v>
      </c>
      <c r="K445" s="24">
        <v>5.8</v>
      </c>
      <c r="L445" s="25">
        <f t="shared" si="42"/>
        <v>61.980000000000004</v>
      </c>
    </row>
    <row r="446" spans="1:12">
      <c r="A446" s="23">
        <f t="shared" si="40"/>
        <v>14</v>
      </c>
      <c r="B446" s="45">
        <v>200842062</v>
      </c>
      <c r="C446" s="56" t="s">
        <v>318</v>
      </c>
      <c r="D446" s="24">
        <v>8.82</v>
      </c>
      <c r="E446" s="24">
        <v>9.24</v>
      </c>
      <c r="F446" s="24">
        <v>11.06</v>
      </c>
      <c r="G446" s="24">
        <v>10.08</v>
      </c>
      <c r="H446" s="28">
        <v>11.34</v>
      </c>
      <c r="I446" s="28">
        <f>59.3-50.54</f>
        <v>8.759999999999998</v>
      </c>
      <c r="J446" s="24">
        <f t="shared" si="41"/>
        <v>59.300000000000004</v>
      </c>
      <c r="K446" s="24">
        <v>14.4</v>
      </c>
      <c r="L446" s="25">
        <f t="shared" si="42"/>
        <v>73.7</v>
      </c>
    </row>
    <row r="447" spans="1:12">
      <c r="A447" s="23">
        <f t="shared" si="40"/>
        <v>15</v>
      </c>
      <c r="B447" s="45">
        <v>200842072</v>
      </c>
      <c r="C447" s="56" t="s">
        <v>319</v>
      </c>
      <c r="D447" s="24">
        <v>6.3</v>
      </c>
      <c r="E447" s="24">
        <v>7.28</v>
      </c>
      <c r="F447" s="24">
        <v>7.42</v>
      </c>
      <c r="G447" s="24">
        <v>5.6</v>
      </c>
      <c r="H447" s="28">
        <v>8.4</v>
      </c>
      <c r="I447" s="28">
        <f>43.05-34.3</f>
        <v>8.75</v>
      </c>
      <c r="J447" s="24">
        <f t="shared" si="41"/>
        <v>43.75</v>
      </c>
      <c r="K447" s="24">
        <v>3.4</v>
      </c>
      <c r="L447" s="25">
        <f t="shared" si="42"/>
        <v>47.15</v>
      </c>
    </row>
    <row r="448" spans="1:12">
      <c r="A448" s="23">
        <f t="shared" si="40"/>
        <v>16</v>
      </c>
      <c r="B448" s="45">
        <v>200842088</v>
      </c>
      <c r="C448" s="59" t="s">
        <v>321</v>
      </c>
      <c r="D448" s="24">
        <v>11.06</v>
      </c>
      <c r="E448" s="24">
        <v>7.7</v>
      </c>
      <c r="F448" s="24">
        <v>8.1199999999999992</v>
      </c>
      <c r="G448" s="24">
        <v>3.92</v>
      </c>
      <c r="H448" s="28">
        <v>2.66</v>
      </c>
      <c r="I448" s="28">
        <f>37.36-33.46</f>
        <v>3.8999999999999986</v>
      </c>
      <c r="J448" s="24">
        <f t="shared" si="41"/>
        <v>37.36</v>
      </c>
      <c r="K448" s="24" t="s">
        <v>475</v>
      </c>
      <c r="L448" s="25">
        <f>+J448</f>
        <v>37.36</v>
      </c>
    </row>
    <row r="449" spans="1:12">
      <c r="A449" s="23">
        <f t="shared" si="40"/>
        <v>17</v>
      </c>
      <c r="B449" s="45">
        <v>200842091</v>
      </c>
      <c r="C449" s="60" t="s">
        <v>322</v>
      </c>
      <c r="D449" s="24">
        <v>4.2</v>
      </c>
      <c r="E449" s="24">
        <v>5.6</v>
      </c>
      <c r="F449" s="24">
        <v>5.32</v>
      </c>
      <c r="G449" s="24">
        <v>3.36</v>
      </c>
      <c r="H449" s="24">
        <v>0</v>
      </c>
      <c r="I449" s="24">
        <f>23.16-18.48</f>
        <v>4.68</v>
      </c>
      <c r="J449" s="24">
        <f t="shared" si="41"/>
        <v>23.16</v>
      </c>
      <c r="K449" s="24" t="s">
        <v>475</v>
      </c>
      <c r="L449" s="25">
        <f t="shared" ref="L449:L452" si="44">+J449</f>
        <v>23.16</v>
      </c>
    </row>
    <row r="450" spans="1:12">
      <c r="A450" s="23">
        <f t="shared" si="40"/>
        <v>18</v>
      </c>
      <c r="B450" s="45">
        <v>200842106</v>
      </c>
      <c r="C450" s="56" t="s">
        <v>323</v>
      </c>
      <c r="D450" s="24">
        <v>2.2400000000000002</v>
      </c>
      <c r="E450" s="24">
        <v>4.62</v>
      </c>
      <c r="F450" s="24">
        <v>4.34</v>
      </c>
      <c r="G450" s="24">
        <v>1.96</v>
      </c>
      <c r="H450" s="24">
        <v>0</v>
      </c>
      <c r="I450" s="24">
        <f>16.4-13.16</f>
        <v>3.2399999999999984</v>
      </c>
      <c r="J450" s="24">
        <f t="shared" si="41"/>
        <v>16.399999999999999</v>
      </c>
      <c r="K450" s="24" t="s">
        <v>475</v>
      </c>
      <c r="L450" s="25">
        <f t="shared" si="44"/>
        <v>16.399999999999999</v>
      </c>
    </row>
    <row r="451" spans="1:12">
      <c r="A451" s="23">
        <f t="shared" si="40"/>
        <v>19</v>
      </c>
      <c r="B451" s="45">
        <v>200842108</v>
      </c>
      <c r="C451" s="56" t="s">
        <v>324</v>
      </c>
      <c r="D451" s="24">
        <v>4.2</v>
      </c>
      <c r="E451" s="24">
        <v>6.16</v>
      </c>
      <c r="F451" s="24">
        <v>4.76</v>
      </c>
      <c r="G451" s="24">
        <v>5.32</v>
      </c>
      <c r="H451" s="24">
        <v>2.66</v>
      </c>
      <c r="I451" s="24">
        <f>31.36-23.1</f>
        <v>8.259999999999998</v>
      </c>
      <c r="J451" s="24">
        <f t="shared" si="41"/>
        <v>31.36</v>
      </c>
      <c r="K451" s="24" t="s">
        <v>475</v>
      </c>
      <c r="L451" s="25">
        <f t="shared" si="44"/>
        <v>31.36</v>
      </c>
    </row>
    <row r="452" spans="1:12">
      <c r="A452" s="23">
        <f t="shared" si="40"/>
        <v>20</v>
      </c>
      <c r="B452" s="45">
        <v>200842128</v>
      </c>
      <c r="C452" s="58" t="s">
        <v>325</v>
      </c>
      <c r="D452" s="24">
        <v>6.02</v>
      </c>
      <c r="E452" s="24">
        <v>4.76</v>
      </c>
      <c r="F452" s="24">
        <v>3.22</v>
      </c>
      <c r="G452" s="24">
        <v>1.96</v>
      </c>
      <c r="H452" s="24">
        <v>0</v>
      </c>
      <c r="I452" s="24">
        <f>21.1-15.96</f>
        <v>5.1400000000000006</v>
      </c>
      <c r="J452" s="24">
        <f t="shared" si="41"/>
        <v>21.1</v>
      </c>
      <c r="K452" s="24" t="s">
        <v>475</v>
      </c>
      <c r="L452" s="25">
        <f t="shared" si="44"/>
        <v>21.1</v>
      </c>
    </row>
    <row r="453" spans="1:12">
      <c r="A453" s="23">
        <f t="shared" si="40"/>
        <v>21</v>
      </c>
      <c r="B453" s="45">
        <v>200842131</v>
      </c>
      <c r="C453" s="56" t="s">
        <v>326</v>
      </c>
      <c r="D453" s="24">
        <v>4.9000000000000004</v>
      </c>
      <c r="E453" s="24">
        <v>8.68</v>
      </c>
      <c r="F453" s="24">
        <v>5.6</v>
      </c>
      <c r="G453" s="24">
        <v>4.4800000000000004</v>
      </c>
      <c r="H453" s="24">
        <v>11.46</v>
      </c>
      <c r="I453" s="24">
        <f>41.16-32.62</f>
        <v>8.5399999999999991</v>
      </c>
      <c r="J453" s="24">
        <f t="shared" si="41"/>
        <v>43.66</v>
      </c>
      <c r="K453" s="24">
        <v>4.2</v>
      </c>
      <c r="L453" s="25">
        <f t="shared" si="42"/>
        <v>47.86</v>
      </c>
    </row>
    <row r="454" spans="1:12">
      <c r="A454" s="23">
        <f t="shared" si="40"/>
        <v>22</v>
      </c>
      <c r="B454" s="45">
        <v>200842211</v>
      </c>
      <c r="C454" s="56" t="s">
        <v>328</v>
      </c>
      <c r="D454" s="24">
        <v>5.74</v>
      </c>
      <c r="E454" s="24">
        <v>7</v>
      </c>
      <c r="F454" s="24">
        <v>5.74</v>
      </c>
      <c r="G454" s="24">
        <v>4.2</v>
      </c>
      <c r="H454" s="24">
        <v>6.16</v>
      </c>
      <c r="I454" s="24">
        <f>36.52-28.84</f>
        <v>7.6800000000000033</v>
      </c>
      <c r="J454" s="24">
        <f t="shared" si="41"/>
        <v>36.520000000000003</v>
      </c>
      <c r="K454" s="24" t="s">
        <v>475</v>
      </c>
      <c r="L454" s="25">
        <f>+J454</f>
        <v>36.520000000000003</v>
      </c>
    </row>
    <row r="455" spans="1:12">
      <c r="A455" s="23">
        <f t="shared" si="40"/>
        <v>23</v>
      </c>
      <c r="B455" s="45">
        <v>200842251</v>
      </c>
      <c r="C455" s="56" t="s">
        <v>329</v>
      </c>
      <c r="D455" s="24">
        <v>6.72</v>
      </c>
      <c r="E455" s="24">
        <v>8.9600000000000009</v>
      </c>
      <c r="F455" s="24">
        <v>9.66</v>
      </c>
      <c r="G455" s="24">
        <v>8.68</v>
      </c>
      <c r="H455" s="24">
        <v>7.84</v>
      </c>
      <c r="I455" s="24">
        <f>50.55-41.86</f>
        <v>8.6899999999999977</v>
      </c>
      <c r="J455" s="24">
        <f t="shared" si="41"/>
        <v>50.55</v>
      </c>
      <c r="K455" s="24">
        <v>10.199999999999999</v>
      </c>
      <c r="L455" s="25">
        <f t="shared" si="42"/>
        <v>60.75</v>
      </c>
    </row>
    <row r="456" spans="1:12">
      <c r="A456" s="23">
        <f t="shared" si="40"/>
        <v>24</v>
      </c>
      <c r="B456" s="45">
        <v>200843352</v>
      </c>
      <c r="C456" s="60" t="s">
        <v>330</v>
      </c>
      <c r="D456" s="24">
        <v>6.44</v>
      </c>
      <c r="E456" s="24">
        <v>6.58</v>
      </c>
      <c r="F456" s="24">
        <v>4.0599999999999996</v>
      </c>
      <c r="G456" s="24">
        <v>3.92</v>
      </c>
      <c r="H456" s="24">
        <v>4.34</v>
      </c>
      <c r="I456" s="24">
        <f>33.32-25.34</f>
        <v>7.98</v>
      </c>
      <c r="J456" s="24">
        <f t="shared" si="41"/>
        <v>33.32</v>
      </c>
      <c r="K456" s="24" t="s">
        <v>475</v>
      </c>
      <c r="L456" s="25">
        <f>+J456</f>
        <v>33.32</v>
      </c>
    </row>
    <row r="457" spans="1:12">
      <c r="A457" s="23">
        <f t="shared" si="40"/>
        <v>25</v>
      </c>
      <c r="B457" s="45">
        <v>200843401</v>
      </c>
      <c r="C457" s="56" t="s">
        <v>331</v>
      </c>
      <c r="D457" s="24">
        <v>2.52</v>
      </c>
      <c r="E457" s="24">
        <v>4.2</v>
      </c>
      <c r="F457" s="24">
        <v>4.9000000000000004</v>
      </c>
      <c r="G457" s="24">
        <v>2.52</v>
      </c>
      <c r="H457" s="24">
        <v>0</v>
      </c>
      <c r="I457" s="24">
        <f>20.54-14.14</f>
        <v>6.3999999999999986</v>
      </c>
      <c r="J457" s="24">
        <f t="shared" si="41"/>
        <v>20.54</v>
      </c>
      <c r="K457" s="24" t="s">
        <v>475</v>
      </c>
      <c r="L457" s="25">
        <f>+J457</f>
        <v>20.54</v>
      </c>
    </row>
    <row r="458" spans="1:12">
      <c r="A458" s="23">
        <f t="shared" si="40"/>
        <v>26</v>
      </c>
      <c r="B458" s="45">
        <v>200843480</v>
      </c>
      <c r="C458" s="56" t="s">
        <v>332</v>
      </c>
      <c r="D458" s="24">
        <v>7.28</v>
      </c>
      <c r="E458" s="24">
        <v>7.42</v>
      </c>
      <c r="F458" s="24">
        <v>6.3</v>
      </c>
      <c r="G458" s="24">
        <v>4.4800000000000004</v>
      </c>
      <c r="H458" s="24">
        <v>7.28</v>
      </c>
      <c r="I458" s="24">
        <f>41.38-32.76</f>
        <v>8.6200000000000045</v>
      </c>
      <c r="J458" s="24">
        <f t="shared" si="41"/>
        <v>41.38000000000001</v>
      </c>
      <c r="K458" s="24">
        <v>2.6</v>
      </c>
      <c r="L458" s="25">
        <f t="shared" si="42"/>
        <v>43.980000000000011</v>
      </c>
    </row>
    <row r="459" spans="1:12">
      <c r="A459" s="23">
        <f t="shared" si="40"/>
        <v>27</v>
      </c>
      <c r="B459" s="45">
        <v>200844524</v>
      </c>
      <c r="C459" s="56" t="s">
        <v>333</v>
      </c>
      <c r="D459" s="24">
        <v>5.6</v>
      </c>
      <c r="E459" s="24">
        <v>5.04</v>
      </c>
      <c r="F459" s="24">
        <v>7.14</v>
      </c>
      <c r="G459" s="24">
        <v>5.04</v>
      </c>
      <c r="H459" s="24">
        <v>5.6</v>
      </c>
      <c r="I459" s="24">
        <f>36.22-28.42</f>
        <v>7.7999999999999972</v>
      </c>
      <c r="J459" s="24">
        <f t="shared" si="41"/>
        <v>36.22</v>
      </c>
      <c r="K459" s="24" t="s">
        <v>475</v>
      </c>
      <c r="L459" s="25">
        <f>+J459</f>
        <v>36.22</v>
      </c>
    </row>
    <row r="460" spans="1:12">
      <c r="A460" s="23">
        <f t="shared" si="40"/>
        <v>28</v>
      </c>
      <c r="B460" s="45">
        <v>200940329</v>
      </c>
      <c r="C460" s="56" t="s">
        <v>334</v>
      </c>
      <c r="D460" s="24">
        <v>5.74</v>
      </c>
      <c r="E460" s="24">
        <v>5.6</v>
      </c>
      <c r="F460" s="24">
        <v>5.88</v>
      </c>
      <c r="G460" s="24">
        <v>5.6</v>
      </c>
      <c r="H460" s="24">
        <v>9.84</v>
      </c>
      <c r="I460" s="24">
        <v>9.09</v>
      </c>
      <c r="J460" s="24">
        <f t="shared" si="41"/>
        <v>41.75</v>
      </c>
      <c r="K460" s="24">
        <v>3</v>
      </c>
      <c r="L460" s="25">
        <f>+K460+J460</f>
        <v>44.75</v>
      </c>
    </row>
    <row r="461" spans="1:12">
      <c r="A461" s="23">
        <f t="shared" si="40"/>
        <v>29</v>
      </c>
      <c r="B461" s="45">
        <v>200940434</v>
      </c>
      <c r="C461" s="60" t="s">
        <v>335</v>
      </c>
      <c r="D461" s="24">
        <v>3.5</v>
      </c>
      <c r="E461" s="24">
        <v>5.18</v>
      </c>
      <c r="F461" s="24">
        <v>7</v>
      </c>
      <c r="G461" s="24">
        <v>10.5</v>
      </c>
      <c r="H461" s="24">
        <v>9.24</v>
      </c>
      <c r="I461" s="24">
        <f>43.19-34.72</f>
        <v>8.4699999999999989</v>
      </c>
      <c r="J461" s="24">
        <f t="shared" si="41"/>
        <v>43.89</v>
      </c>
      <c r="K461" s="24">
        <v>12.8</v>
      </c>
      <c r="L461" s="25">
        <f t="shared" si="42"/>
        <v>56.69</v>
      </c>
    </row>
    <row r="462" spans="1:12">
      <c r="A462" s="23">
        <f t="shared" si="40"/>
        <v>30</v>
      </c>
      <c r="B462" s="45">
        <v>200940498</v>
      </c>
      <c r="C462" s="56" t="s">
        <v>336</v>
      </c>
      <c r="D462" s="24">
        <v>2.66</v>
      </c>
      <c r="E462" s="24">
        <v>3.78</v>
      </c>
      <c r="F462" s="24">
        <v>5.04</v>
      </c>
      <c r="G462" s="24">
        <v>3.64</v>
      </c>
      <c r="H462" s="24">
        <v>0</v>
      </c>
      <c r="I462" s="24">
        <f>22.99-15.12</f>
        <v>7.8699999999999992</v>
      </c>
      <c r="J462" s="24">
        <f t="shared" si="41"/>
        <v>22.990000000000002</v>
      </c>
      <c r="K462" s="24" t="s">
        <v>475</v>
      </c>
      <c r="L462" s="25">
        <f>+J462</f>
        <v>22.990000000000002</v>
      </c>
    </row>
    <row r="463" spans="1:12">
      <c r="A463" s="23">
        <f t="shared" si="40"/>
        <v>31</v>
      </c>
      <c r="B463" s="45">
        <v>200940524</v>
      </c>
      <c r="C463" s="59" t="s">
        <v>337</v>
      </c>
      <c r="D463" s="24">
        <v>2.8</v>
      </c>
      <c r="E463" s="24">
        <v>3.92</v>
      </c>
      <c r="F463" s="24">
        <v>4.62</v>
      </c>
      <c r="G463" s="24">
        <v>5.04</v>
      </c>
      <c r="H463" s="24">
        <v>2.66</v>
      </c>
      <c r="I463" s="24">
        <f>27.33-19.04</f>
        <v>8.2899999999999991</v>
      </c>
      <c r="J463" s="24">
        <f t="shared" si="41"/>
        <v>27.330000000000002</v>
      </c>
      <c r="K463" s="24" t="s">
        <v>475</v>
      </c>
      <c r="L463" s="25">
        <f t="shared" ref="L463:L465" si="45">+J463</f>
        <v>27.330000000000002</v>
      </c>
    </row>
    <row r="464" spans="1:12">
      <c r="A464" s="23">
        <f t="shared" si="40"/>
        <v>32</v>
      </c>
      <c r="B464" s="45">
        <v>200940708</v>
      </c>
      <c r="C464" s="56" t="s">
        <v>338</v>
      </c>
      <c r="D464" s="24">
        <v>4.34</v>
      </c>
      <c r="E464" s="24">
        <v>4.0599999999999996</v>
      </c>
      <c r="F464" s="24">
        <v>4.34</v>
      </c>
      <c r="G464" s="24">
        <v>0</v>
      </c>
      <c r="H464" s="24">
        <v>0</v>
      </c>
      <c r="I464" s="24">
        <f>14.47-12.74</f>
        <v>1.7300000000000004</v>
      </c>
      <c r="J464" s="24">
        <f t="shared" si="41"/>
        <v>14.469999999999999</v>
      </c>
      <c r="K464" s="24" t="s">
        <v>475</v>
      </c>
      <c r="L464" s="25">
        <f t="shared" si="45"/>
        <v>14.469999999999999</v>
      </c>
    </row>
    <row r="465" spans="1:12">
      <c r="A465" s="23">
        <f t="shared" si="40"/>
        <v>33</v>
      </c>
      <c r="B465" s="45">
        <v>200941405</v>
      </c>
      <c r="C465" s="56" t="s">
        <v>339</v>
      </c>
      <c r="D465" s="24">
        <v>6.3</v>
      </c>
      <c r="E465" s="24">
        <v>5.6</v>
      </c>
      <c r="F465" s="24">
        <v>4.76</v>
      </c>
      <c r="G465" s="24">
        <v>5.6</v>
      </c>
      <c r="H465" s="24">
        <v>2.52</v>
      </c>
      <c r="I465" s="24">
        <f>32.57-24.78</f>
        <v>7.7899999999999991</v>
      </c>
      <c r="J465" s="24">
        <f t="shared" si="41"/>
        <v>32.569999999999993</v>
      </c>
      <c r="K465" s="24" t="s">
        <v>475</v>
      </c>
      <c r="L465" s="25">
        <f t="shared" si="45"/>
        <v>32.569999999999993</v>
      </c>
    </row>
    <row r="466" spans="1:12">
      <c r="A466" s="23">
        <f t="shared" si="40"/>
        <v>34</v>
      </c>
      <c r="B466" s="57">
        <v>200941695</v>
      </c>
      <c r="C466" s="60" t="s">
        <v>340</v>
      </c>
      <c r="D466" s="24">
        <v>4.34</v>
      </c>
      <c r="E466" s="24">
        <v>5.46</v>
      </c>
      <c r="F466" s="24">
        <v>3.64</v>
      </c>
      <c r="G466" s="24">
        <v>5.04</v>
      </c>
      <c r="H466" s="24">
        <v>1.1200000000000001</v>
      </c>
      <c r="I466" s="24">
        <f>27.02-19.6</f>
        <v>7.4199999999999982</v>
      </c>
      <c r="J466" s="24">
        <f t="shared" si="41"/>
        <v>27.02</v>
      </c>
      <c r="K466" s="24" t="s">
        <v>475</v>
      </c>
      <c r="L466" s="25">
        <f>+J466</f>
        <v>27.02</v>
      </c>
    </row>
    <row r="467" spans="1:12">
      <c r="A467" s="23">
        <f t="shared" si="40"/>
        <v>35</v>
      </c>
      <c r="B467" s="45">
        <v>200942683</v>
      </c>
      <c r="C467" s="59" t="s">
        <v>341</v>
      </c>
      <c r="D467" s="24">
        <v>4.9000000000000004</v>
      </c>
      <c r="E467" s="24">
        <v>8.82</v>
      </c>
      <c r="F467" s="24">
        <v>5.6</v>
      </c>
      <c r="G467" s="24">
        <v>7.84</v>
      </c>
      <c r="H467" s="24">
        <v>9.94</v>
      </c>
      <c r="I467" s="24">
        <f>43.91-35.7</f>
        <v>8.2099999999999937</v>
      </c>
      <c r="J467" s="24">
        <f t="shared" si="41"/>
        <v>45.309999999999988</v>
      </c>
      <c r="K467" s="24">
        <v>3</v>
      </c>
      <c r="L467" s="25">
        <f t="shared" si="42"/>
        <v>48.309999999999988</v>
      </c>
    </row>
    <row r="468" spans="1:12">
      <c r="A468" s="23">
        <f t="shared" si="40"/>
        <v>36</v>
      </c>
      <c r="B468" s="45">
        <v>200943123</v>
      </c>
      <c r="C468" s="56" t="s">
        <v>342</v>
      </c>
      <c r="D468" s="24">
        <v>4.9000000000000004</v>
      </c>
      <c r="E468" s="24">
        <v>4.62</v>
      </c>
      <c r="F468" s="24">
        <v>4.0599999999999996</v>
      </c>
      <c r="G468" s="24">
        <v>2.8</v>
      </c>
      <c r="H468" s="24">
        <v>0</v>
      </c>
      <c r="I468" s="24">
        <f>19.92-16.38</f>
        <v>3.5400000000000027</v>
      </c>
      <c r="J468" s="24">
        <f t="shared" si="41"/>
        <v>19.920000000000002</v>
      </c>
      <c r="K468" s="24" t="s">
        <v>475</v>
      </c>
      <c r="L468" s="25">
        <f>+J468</f>
        <v>19.920000000000002</v>
      </c>
    </row>
    <row r="469" spans="1:12">
      <c r="A469" s="23">
        <f t="shared" si="40"/>
        <v>37</v>
      </c>
      <c r="B469" s="45">
        <v>200943127</v>
      </c>
      <c r="C469" s="59" t="s">
        <v>343</v>
      </c>
      <c r="D469" s="24">
        <v>8.1199999999999992</v>
      </c>
      <c r="E469" s="24">
        <v>5.74</v>
      </c>
      <c r="F469" s="24">
        <v>7</v>
      </c>
      <c r="G469" s="24">
        <v>3.92</v>
      </c>
      <c r="H469" s="24">
        <v>7.56</v>
      </c>
      <c r="I469" s="24">
        <f>41.05-32.34</f>
        <v>8.7099999999999937</v>
      </c>
      <c r="J469" s="24">
        <f t="shared" si="41"/>
        <v>41.04999999999999</v>
      </c>
      <c r="K469" s="24">
        <v>2.2000000000000002</v>
      </c>
      <c r="L469" s="25">
        <f t="shared" si="42"/>
        <v>43.249999999999993</v>
      </c>
    </row>
    <row r="470" spans="1:12">
      <c r="A470" s="23">
        <f t="shared" si="40"/>
        <v>38</v>
      </c>
      <c r="B470" s="45">
        <v>200943365</v>
      </c>
      <c r="C470" s="56" t="s">
        <v>344</v>
      </c>
      <c r="D470" s="24">
        <v>3.36</v>
      </c>
      <c r="E470" s="24">
        <v>4.4800000000000004</v>
      </c>
      <c r="F470" s="24">
        <v>0</v>
      </c>
      <c r="G470" s="24">
        <v>0</v>
      </c>
      <c r="H470" s="24">
        <v>0</v>
      </c>
      <c r="I470" s="24">
        <f>9.48-7.84</f>
        <v>1.6400000000000006</v>
      </c>
      <c r="J470" s="24">
        <f t="shared" si="41"/>
        <v>9.48</v>
      </c>
      <c r="K470" s="24" t="s">
        <v>475</v>
      </c>
      <c r="L470" s="25">
        <f>+J470</f>
        <v>9.48</v>
      </c>
    </row>
    <row r="471" spans="1:12">
      <c r="A471" s="23">
        <f t="shared" si="40"/>
        <v>39</v>
      </c>
      <c r="B471" s="45">
        <v>200943369</v>
      </c>
      <c r="C471" s="56" t="s">
        <v>345</v>
      </c>
      <c r="D471" s="24">
        <v>4.2</v>
      </c>
      <c r="E471" s="24">
        <v>5.74</v>
      </c>
      <c r="F471" s="24">
        <v>8.5399999999999991</v>
      </c>
      <c r="G471" s="24">
        <v>7.56</v>
      </c>
      <c r="H471" s="24">
        <v>8.82</v>
      </c>
      <c r="I471" s="24">
        <f>42.19-34.86</f>
        <v>7.3299999999999983</v>
      </c>
      <c r="J471" s="24">
        <f t="shared" si="41"/>
        <v>42.190000000000005</v>
      </c>
      <c r="K471" s="24">
        <v>2.8</v>
      </c>
      <c r="L471" s="25">
        <f t="shared" si="42"/>
        <v>44.99</v>
      </c>
    </row>
    <row r="472" spans="1:12">
      <c r="A472" s="23">
        <f t="shared" si="40"/>
        <v>40</v>
      </c>
      <c r="B472" s="45">
        <v>200943628</v>
      </c>
      <c r="C472" s="56" t="s">
        <v>346</v>
      </c>
      <c r="D472" s="24">
        <v>4.9000000000000004</v>
      </c>
      <c r="E472" s="24">
        <v>4.4800000000000004</v>
      </c>
      <c r="F472" s="24">
        <v>5.04</v>
      </c>
      <c r="G472" s="24">
        <v>6.72</v>
      </c>
      <c r="H472" s="24">
        <v>5.04</v>
      </c>
      <c r="I472" s="24">
        <f>34.14-26.18</f>
        <v>7.9600000000000009</v>
      </c>
      <c r="J472" s="24">
        <f t="shared" si="41"/>
        <v>34.14</v>
      </c>
      <c r="K472" s="24" t="s">
        <v>475</v>
      </c>
      <c r="L472" s="25">
        <f>+J472</f>
        <v>34.14</v>
      </c>
    </row>
    <row r="473" spans="1:12">
      <c r="A473" s="23">
        <f t="shared" si="40"/>
        <v>41</v>
      </c>
      <c r="B473" s="45">
        <v>200943630</v>
      </c>
      <c r="C473" s="56" t="s">
        <v>347</v>
      </c>
      <c r="D473" s="24">
        <v>3.36</v>
      </c>
      <c r="E473" s="24">
        <v>6.58</v>
      </c>
      <c r="F473" s="24">
        <v>3.22</v>
      </c>
      <c r="G473" s="24">
        <v>2.8</v>
      </c>
      <c r="H473" s="24">
        <v>0</v>
      </c>
      <c r="I473" s="24">
        <f>21.16-15.96</f>
        <v>5.1999999999999993</v>
      </c>
      <c r="J473" s="24">
        <f t="shared" si="41"/>
        <v>21.159999999999997</v>
      </c>
      <c r="K473" s="24" t="s">
        <v>475</v>
      </c>
      <c r="L473" s="25">
        <f t="shared" ref="L473:L478" si="46">+J473</f>
        <v>21.159999999999997</v>
      </c>
    </row>
    <row r="474" spans="1:12">
      <c r="A474" s="23">
        <f t="shared" si="40"/>
        <v>42</v>
      </c>
      <c r="B474" s="45">
        <v>200943634</v>
      </c>
      <c r="C474" s="56" t="s">
        <v>348</v>
      </c>
      <c r="D474" s="24">
        <v>2.2400000000000002</v>
      </c>
      <c r="E474" s="24">
        <v>5.32</v>
      </c>
      <c r="F474" s="24">
        <v>3.64</v>
      </c>
      <c r="G474" s="24">
        <v>4.4800000000000004</v>
      </c>
      <c r="H474" s="24">
        <v>0</v>
      </c>
      <c r="I474" s="24">
        <f>22.61-15.68</f>
        <v>6.93</v>
      </c>
      <c r="J474" s="24">
        <f t="shared" si="41"/>
        <v>22.61</v>
      </c>
      <c r="K474" s="24" t="s">
        <v>475</v>
      </c>
      <c r="L474" s="25">
        <f t="shared" si="46"/>
        <v>22.61</v>
      </c>
    </row>
    <row r="475" spans="1:12">
      <c r="A475" s="23">
        <f t="shared" si="40"/>
        <v>43</v>
      </c>
      <c r="B475" s="45">
        <v>200943637</v>
      </c>
      <c r="C475" s="56" t="s">
        <v>349</v>
      </c>
      <c r="D475" s="24">
        <v>4.9000000000000004</v>
      </c>
      <c r="E475" s="24">
        <v>6.02</v>
      </c>
      <c r="F475" s="24">
        <v>5.6</v>
      </c>
      <c r="G475" s="24">
        <v>6.16</v>
      </c>
      <c r="H475" s="24">
        <v>1.68</v>
      </c>
      <c r="I475" s="24">
        <f>32.13-24.36</f>
        <v>7.7700000000000031</v>
      </c>
      <c r="J475" s="24">
        <f t="shared" si="41"/>
        <v>32.130000000000003</v>
      </c>
      <c r="K475" s="24" t="s">
        <v>475</v>
      </c>
      <c r="L475" s="25">
        <f t="shared" si="46"/>
        <v>32.130000000000003</v>
      </c>
    </row>
    <row r="476" spans="1:12">
      <c r="A476" s="23">
        <f t="shared" si="40"/>
        <v>44</v>
      </c>
      <c r="B476" s="45">
        <v>200943640</v>
      </c>
      <c r="C476" s="56" t="s">
        <v>350</v>
      </c>
      <c r="D476" s="24">
        <v>3.5</v>
      </c>
      <c r="E476" s="24">
        <v>4.34</v>
      </c>
      <c r="F476" s="24">
        <v>5.18</v>
      </c>
      <c r="G476" s="24">
        <v>5.04</v>
      </c>
      <c r="H476" s="24">
        <v>0</v>
      </c>
      <c r="I476" s="24">
        <f>24.13-18.06</f>
        <v>6.07</v>
      </c>
      <c r="J476" s="24">
        <f t="shared" si="41"/>
        <v>24.13</v>
      </c>
      <c r="K476" s="24" t="s">
        <v>475</v>
      </c>
      <c r="L476" s="25">
        <f t="shared" si="46"/>
        <v>24.13</v>
      </c>
    </row>
    <row r="477" spans="1:12">
      <c r="A477" s="23">
        <f t="shared" si="40"/>
        <v>45</v>
      </c>
      <c r="B477" s="45">
        <v>200943641</v>
      </c>
      <c r="C477" s="56" t="s">
        <v>351</v>
      </c>
      <c r="D477" s="24">
        <v>3.5</v>
      </c>
      <c r="E477" s="24">
        <v>5.32</v>
      </c>
      <c r="F477" s="24">
        <v>4.2</v>
      </c>
      <c r="G477" s="24">
        <v>0</v>
      </c>
      <c r="H477" s="24">
        <v>0</v>
      </c>
      <c r="I477" s="24">
        <f>15.75-13.02</f>
        <v>2.7300000000000004</v>
      </c>
      <c r="J477" s="24">
        <f t="shared" si="41"/>
        <v>15.75</v>
      </c>
      <c r="K477" s="24" t="s">
        <v>475</v>
      </c>
      <c r="L477" s="25">
        <f t="shared" si="46"/>
        <v>15.75</v>
      </c>
    </row>
    <row r="478" spans="1:12">
      <c r="A478" s="23">
        <f t="shared" si="40"/>
        <v>46</v>
      </c>
      <c r="B478" s="45">
        <v>200943691</v>
      </c>
      <c r="C478" s="56" t="s">
        <v>352</v>
      </c>
      <c r="D478" s="24">
        <v>3.5</v>
      </c>
      <c r="E478" s="24">
        <v>4.4800000000000004</v>
      </c>
      <c r="F478" s="24">
        <v>3.64</v>
      </c>
      <c r="G478" s="24">
        <v>5.88</v>
      </c>
      <c r="H478" s="24">
        <v>3.5</v>
      </c>
      <c r="I478" s="24">
        <f>27.38-21</f>
        <v>6.379999999999999</v>
      </c>
      <c r="J478" s="24">
        <f t="shared" si="41"/>
        <v>27.38</v>
      </c>
      <c r="K478" s="24" t="s">
        <v>475</v>
      </c>
      <c r="L478" s="25">
        <f t="shared" si="46"/>
        <v>27.38</v>
      </c>
    </row>
    <row r="479" spans="1:12">
      <c r="A479" s="23">
        <f t="shared" si="40"/>
        <v>47</v>
      </c>
      <c r="B479" s="45">
        <v>200943700</v>
      </c>
      <c r="C479" s="56" t="s">
        <v>353</v>
      </c>
      <c r="D479" s="24">
        <v>7.14</v>
      </c>
      <c r="E479" s="24">
        <v>8.5399999999999991</v>
      </c>
      <c r="F479" s="24">
        <v>4.76</v>
      </c>
      <c r="G479" s="24">
        <v>5.6</v>
      </c>
      <c r="H479" s="24">
        <v>7</v>
      </c>
      <c r="I479" s="24">
        <f>41.21-33.04</f>
        <v>8.1700000000000017</v>
      </c>
      <c r="J479" s="24">
        <f t="shared" si="41"/>
        <v>41.21</v>
      </c>
      <c r="K479" s="24">
        <v>7.6</v>
      </c>
      <c r="L479" s="25">
        <f t="shared" si="42"/>
        <v>48.81</v>
      </c>
    </row>
    <row r="480" spans="1:12">
      <c r="A480" s="23">
        <f t="shared" si="40"/>
        <v>48</v>
      </c>
      <c r="B480" s="45">
        <v>200943737</v>
      </c>
      <c r="C480" s="56" t="s">
        <v>436</v>
      </c>
      <c r="D480" s="24">
        <v>9.8000000000000007</v>
      </c>
      <c r="E480" s="24">
        <v>0</v>
      </c>
      <c r="F480" s="24">
        <v>0</v>
      </c>
      <c r="G480" s="24">
        <v>0</v>
      </c>
      <c r="H480" s="24">
        <v>0</v>
      </c>
      <c r="I480" s="24">
        <f>11.73-9.8</f>
        <v>1.9299999999999997</v>
      </c>
      <c r="J480" s="24">
        <f t="shared" si="41"/>
        <v>11.73</v>
      </c>
      <c r="K480" s="24" t="s">
        <v>475</v>
      </c>
      <c r="L480" s="25">
        <f>+J480</f>
        <v>11.73</v>
      </c>
    </row>
    <row r="481" spans="1:12">
      <c r="A481" s="23">
        <f t="shared" si="40"/>
        <v>49</v>
      </c>
      <c r="B481" s="45">
        <v>200943793</v>
      </c>
      <c r="C481" s="56" t="s">
        <v>354</v>
      </c>
      <c r="D481" s="24">
        <v>5.46</v>
      </c>
      <c r="E481" s="24">
        <v>4.4800000000000004</v>
      </c>
      <c r="F481" s="24">
        <v>5.74</v>
      </c>
      <c r="G481" s="24">
        <v>4.4800000000000004</v>
      </c>
      <c r="H481" s="24">
        <v>0</v>
      </c>
      <c r="I481" s="24">
        <f>27.22-20.16</f>
        <v>7.0599999999999987</v>
      </c>
      <c r="J481" s="24">
        <f t="shared" si="41"/>
        <v>27.220000000000002</v>
      </c>
      <c r="K481" s="24" t="s">
        <v>475</v>
      </c>
      <c r="L481" s="25">
        <f t="shared" ref="L481:L482" si="47">+J481</f>
        <v>27.220000000000002</v>
      </c>
    </row>
    <row r="482" spans="1:12">
      <c r="A482" s="23">
        <f t="shared" si="40"/>
        <v>50</v>
      </c>
      <c r="B482" s="45">
        <v>200943840</v>
      </c>
      <c r="C482" s="56" t="s">
        <v>355</v>
      </c>
      <c r="D482" s="24">
        <v>2.8</v>
      </c>
      <c r="E482" s="24">
        <v>0.84</v>
      </c>
      <c r="F482" s="24">
        <v>3.64</v>
      </c>
      <c r="G482" s="24">
        <v>0</v>
      </c>
      <c r="H482" s="24">
        <v>0</v>
      </c>
      <c r="I482" s="24">
        <f>9.16-7.28</f>
        <v>1.88</v>
      </c>
      <c r="J482" s="24">
        <f t="shared" si="41"/>
        <v>9.16</v>
      </c>
      <c r="K482" s="24" t="s">
        <v>475</v>
      </c>
      <c r="L482" s="25">
        <f t="shared" si="47"/>
        <v>9.16</v>
      </c>
    </row>
    <row r="483" spans="1:12">
      <c r="A483" s="23">
        <f t="shared" si="40"/>
        <v>51</v>
      </c>
      <c r="B483" s="45">
        <v>200944056</v>
      </c>
      <c r="C483" s="56" t="s">
        <v>356</v>
      </c>
      <c r="D483" s="24">
        <v>10.220000000000001</v>
      </c>
      <c r="E483" s="24">
        <v>7.98</v>
      </c>
      <c r="F483" s="24">
        <v>7.84</v>
      </c>
      <c r="G483" s="24">
        <v>7.56</v>
      </c>
      <c r="H483" s="24">
        <v>7.56</v>
      </c>
      <c r="I483" s="24">
        <f>49.73-41.16</f>
        <v>8.57</v>
      </c>
      <c r="J483" s="24">
        <f t="shared" si="41"/>
        <v>49.73</v>
      </c>
      <c r="K483" s="24">
        <v>3</v>
      </c>
      <c r="L483" s="25">
        <f t="shared" si="42"/>
        <v>52.73</v>
      </c>
    </row>
    <row r="484" spans="1:12">
      <c r="A484" s="23">
        <f t="shared" si="40"/>
        <v>52</v>
      </c>
      <c r="B484" s="45">
        <v>200944097</v>
      </c>
      <c r="C484" s="56" t="s">
        <v>357</v>
      </c>
      <c r="D484" s="62">
        <v>7.56</v>
      </c>
      <c r="E484" s="24">
        <v>6.3</v>
      </c>
      <c r="F484" s="24">
        <v>5.04</v>
      </c>
      <c r="G484" s="24">
        <v>3.92</v>
      </c>
      <c r="H484" s="24">
        <v>0</v>
      </c>
      <c r="I484" s="24">
        <f>30.77-22.82</f>
        <v>7.9499999999999993</v>
      </c>
      <c r="J484" s="24">
        <f t="shared" si="41"/>
        <v>30.77</v>
      </c>
      <c r="K484" s="24" t="s">
        <v>475</v>
      </c>
      <c r="L484" s="25">
        <f>+J484</f>
        <v>30.77</v>
      </c>
    </row>
    <row r="485" spans="1:12">
      <c r="A485" s="23">
        <f t="shared" si="40"/>
        <v>53</v>
      </c>
      <c r="B485" s="45">
        <v>200944241</v>
      </c>
      <c r="C485" s="56" t="s">
        <v>358</v>
      </c>
      <c r="D485" s="24">
        <v>3.5</v>
      </c>
      <c r="E485" s="24">
        <v>3.92</v>
      </c>
      <c r="F485" s="24">
        <v>7.42</v>
      </c>
      <c r="G485" s="24">
        <v>5.04</v>
      </c>
      <c r="H485" s="24">
        <v>1.68</v>
      </c>
      <c r="I485" s="24">
        <f>28.58-21.56</f>
        <v>7.02</v>
      </c>
      <c r="J485" s="24">
        <f t="shared" si="41"/>
        <v>28.58</v>
      </c>
      <c r="K485" s="24" t="s">
        <v>475</v>
      </c>
      <c r="L485" s="25">
        <f t="shared" ref="L485:L490" si="48">+J485</f>
        <v>28.58</v>
      </c>
    </row>
    <row r="486" spans="1:12">
      <c r="A486" s="23">
        <f t="shared" si="40"/>
        <v>54</v>
      </c>
      <c r="B486" s="45">
        <v>200944435</v>
      </c>
      <c r="C486" s="60" t="s">
        <v>359</v>
      </c>
      <c r="D486" s="24">
        <v>4.2</v>
      </c>
      <c r="E486" s="24">
        <v>3.92</v>
      </c>
      <c r="F486" s="24">
        <v>3.36</v>
      </c>
      <c r="G486" s="24">
        <v>2.2400000000000002</v>
      </c>
      <c r="H486" s="24">
        <v>0</v>
      </c>
      <c r="I486" s="24">
        <f>17.22-13.72</f>
        <v>3.4999999999999982</v>
      </c>
      <c r="J486" s="24">
        <f t="shared" si="41"/>
        <v>17.22</v>
      </c>
      <c r="K486" s="24" t="s">
        <v>475</v>
      </c>
      <c r="L486" s="25">
        <f t="shared" si="48"/>
        <v>17.22</v>
      </c>
    </row>
    <row r="487" spans="1:12">
      <c r="A487" s="23">
        <f t="shared" si="40"/>
        <v>55</v>
      </c>
      <c r="B487" s="45">
        <v>200944452</v>
      </c>
      <c r="C487" s="56" t="s">
        <v>360</v>
      </c>
      <c r="D487" s="24">
        <v>8.1199999999999992</v>
      </c>
      <c r="E487" s="24">
        <v>6.72</v>
      </c>
      <c r="F487" s="24">
        <v>5.6</v>
      </c>
      <c r="G487" s="24">
        <v>4.2</v>
      </c>
      <c r="H487" s="24">
        <v>0</v>
      </c>
      <c r="I487" s="24">
        <f>32.58-24.64</f>
        <v>7.9399999999999977</v>
      </c>
      <c r="J487" s="24">
        <f t="shared" si="41"/>
        <v>32.579999999999991</v>
      </c>
      <c r="K487" s="24" t="s">
        <v>475</v>
      </c>
      <c r="L487" s="25">
        <f t="shared" si="48"/>
        <v>32.579999999999991</v>
      </c>
    </row>
    <row r="488" spans="1:12">
      <c r="A488" s="23">
        <f t="shared" si="40"/>
        <v>56</v>
      </c>
      <c r="B488" s="45">
        <v>200944938</v>
      </c>
      <c r="C488" s="60" t="s">
        <v>361</v>
      </c>
      <c r="D488" s="24">
        <v>3.64</v>
      </c>
      <c r="E488" s="24">
        <v>4.34</v>
      </c>
      <c r="F488" s="24">
        <v>4.2</v>
      </c>
      <c r="G488" s="24">
        <v>5.04</v>
      </c>
      <c r="H488" s="24">
        <v>0</v>
      </c>
      <c r="I488" s="24">
        <f>23.63-17.22</f>
        <v>6.41</v>
      </c>
      <c r="J488" s="24">
        <f t="shared" si="41"/>
        <v>23.63</v>
      </c>
      <c r="K488" s="24" t="s">
        <v>475</v>
      </c>
      <c r="L488" s="25">
        <f t="shared" si="48"/>
        <v>23.63</v>
      </c>
    </row>
    <row r="489" spans="1:12">
      <c r="A489" s="23">
        <f t="shared" si="40"/>
        <v>57</v>
      </c>
      <c r="B489" s="45">
        <v>200944985</v>
      </c>
      <c r="C489" s="60" t="s">
        <v>362</v>
      </c>
      <c r="D489" s="24">
        <v>4.2</v>
      </c>
      <c r="E489" s="24">
        <v>6.3</v>
      </c>
      <c r="F489" s="24">
        <v>5.6</v>
      </c>
      <c r="G489" s="24">
        <v>5.04</v>
      </c>
      <c r="H489" s="24">
        <v>0</v>
      </c>
      <c r="I489" s="24">
        <f>29.32-21.14</f>
        <v>8.18</v>
      </c>
      <c r="J489" s="24">
        <f t="shared" si="41"/>
        <v>29.32</v>
      </c>
      <c r="K489" s="24" t="s">
        <v>475</v>
      </c>
      <c r="L489" s="25">
        <f t="shared" si="48"/>
        <v>29.32</v>
      </c>
    </row>
    <row r="490" spans="1:12">
      <c r="A490" s="23">
        <f t="shared" si="40"/>
        <v>58</v>
      </c>
      <c r="B490" s="45">
        <v>200946113</v>
      </c>
      <c r="C490" s="56" t="s">
        <v>363</v>
      </c>
      <c r="D490" s="24">
        <v>2.94</v>
      </c>
      <c r="E490" s="24">
        <v>4.34</v>
      </c>
      <c r="F490" s="24">
        <v>3.92</v>
      </c>
      <c r="G490" s="24">
        <v>3.64</v>
      </c>
      <c r="H490" s="24">
        <v>0</v>
      </c>
      <c r="I490" s="24">
        <f>21.11-14.84</f>
        <v>6.27</v>
      </c>
      <c r="J490" s="24">
        <f t="shared" si="41"/>
        <v>21.110000000000003</v>
      </c>
      <c r="K490" s="24" t="s">
        <v>475</v>
      </c>
      <c r="L490" s="25">
        <f t="shared" si="48"/>
        <v>21.110000000000003</v>
      </c>
    </row>
    <row r="491" spans="1:12">
      <c r="A491" s="29"/>
      <c r="B491" s="29"/>
      <c r="C491" s="30"/>
      <c r="D491" s="31"/>
      <c r="E491" s="31"/>
      <c r="F491" s="31"/>
      <c r="G491" s="31"/>
      <c r="H491" s="31"/>
      <c r="I491" s="31"/>
      <c r="J491" s="31"/>
      <c r="K491" s="31"/>
      <c r="L491" s="32"/>
    </row>
    <row r="492" spans="1:12">
      <c r="A492" s="29"/>
      <c r="B492" s="29"/>
      <c r="C492" s="30"/>
      <c r="D492" s="31"/>
      <c r="E492" s="31"/>
      <c r="F492" s="31"/>
      <c r="G492" s="31"/>
      <c r="H492" s="31"/>
      <c r="I492" s="31"/>
      <c r="J492" s="31"/>
      <c r="K492" s="31"/>
      <c r="L492" s="32"/>
    </row>
    <row r="493" spans="1:12" ht="17.25" thickBot="1">
      <c r="A493" s="33"/>
      <c r="B493" s="33"/>
      <c r="C493" s="34"/>
      <c r="D493" s="31"/>
      <c r="E493" s="31"/>
      <c r="F493" s="31"/>
      <c r="G493" s="31"/>
      <c r="H493" s="35"/>
      <c r="I493" s="35"/>
      <c r="J493" s="35"/>
      <c r="K493" s="9"/>
      <c r="L493" s="32"/>
    </row>
    <row r="494" spans="1:12">
      <c r="H494" s="100" t="s">
        <v>439</v>
      </c>
      <c r="I494" s="100"/>
      <c r="J494" s="100"/>
      <c r="L494" s="1"/>
    </row>
    <row r="495" spans="1:12">
      <c r="D495" s="36"/>
      <c r="H495" s="100" t="s">
        <v>430</v>
      </c>
      <c r="I495" s="100"/>
      <c r="J495" s="100"/>
      <c r="L495" s="1"/>
    </row>
    <row r="496" spans="1:12">
      <c r="D496" s="36"/>
      <c r="H496" s="100" t="s">
        <v>440</v>
      </c>
      <c r="I496" s="100"/>
      <c r="J496" s="100"/>
      <c r="L496" s="1"/>
    </row>
  </sheetData>
  <mergeCells count="18">
    <mergeCell ref="H496:J496"/>
    <mergeCell ref="H80:J80"/>
    <mergeCell ref="H81:J81"/>
    <mergeCell ref="H82:J82"/>
    <mergeCell ref="H494:J494"/>
    <mergeCell ref="H495:J495"/>
    <mergeCell ref="H408:J408"/>
    <mergeCell ref="H409:J409"/>
    <mergeCell ref="H410:J410"/>
    <mergeCell ref="H166:J166"/>
    <mergeCell ref="H167:J167"/>
    <mergeCell ref="H168:J168"/>
    <mergeCell ref="H242:J242"/>
    <mergeCell ref="H243:J243"/>
    <mergeCell ref="H244:J244"/>
    <mergeCell ref="H331:J331"/>
    <mergeCell ref="H332:J332"/>
    <mergeCell ref="H333:J333"/>
  </mergeCells>
  <pageMargins left="0.28000000000000003" right="0.34" top="0.51" bottom="0.43" header="0.31496062992125984" footer="0.31496062992125984"/>
  <pageSetup paperSize="129" scale="8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L504"/>
  <sheetViews>
    <sheetView topLeftCell="A499" workbookViewId="0">
      <selection activeCell="C514" sqref="C514"/>
    </sheetView>
  </sheetViews>
  <sheetFormatPr baseColWidth="10" defaultRowHeight="16.5"/>
  <cols>
    <col min="1" max="1" width="4.140625" style="2" customWidth="1"/>
    <col min="2" max="2" width="10" style="2" bestFit="1" customWidth="1"/>
    <col min="3" max="3" width="35.5703125" style="2" bestFit="1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13.42578125" style="2" customWidth="1"/>
    <col min="10" max="10" width="12.85546875" style="2" bestFit="1" customWidth="1"/>
    <col min="11" max="11" width="15.7109375" style="2" customWidth="1"/>
    <col min="12" max="12" width="7.5703125" style="2" bestFit="1" customWidth="1"/>
    <col min="13" max="16384" width="11.42578125" style="2"/>
  </cols>
  <sheetData>
    <row r="1" spans="1:12" ht="17.25" thickBot="1">
      <c r="A1" s="1" t="s">
        <v>0</v>
      </c>
      <c r="I1" s="3"/>
    </row>
    <row r="2" spans="1:12">
      <c r="A2" s="1" t="s">
        <v>1</v>
      </c>
      <c r="F2" s="4"/>
      <c r="G2" s="5"/>
      <c r="H2" s="6"/>
      <c r="I2" s="7"/>
    </row>
    <row r="3" spans="1:12">
      <c r="A3" s="8" t="s">
        <v>2</v>
      </c>
      <c r="B3" s="9"/>
      <c r="E3" s="7"/>
      <c r="F3" s="10"/>
      <c r="G3" s="11"/>
      <c r="H3" s="12"/>
      <c r="I3" s="7"/>
    </row>
    <row r="4" spans="1:12" ht="17.25" thickBot="1">
      <c r="A4" s="13" t="s">
        <v>3</v>
      </c>
      <c r="B4" s="9"/>
      <c r="E4" s="7"/>
      <c r="F4" s="10"/>
      <c r="G4" s="11"/>
      <c r="H4" s="12"/>
      <c r="I4" s="7"/>
    </row>
    <row r="5" spans="1:12" ht="17.25" thickBot="1">
      <c r="A5" s="14" t="s">
        <v>22</v>
      </c>
      <c r="B5" s="15"/>
      <c r="C5" s="16"/>
      <c r="E5" s="7"/>
      <c r="F5" s="17"/>
      <c r="G5" s="18"/>
      <c r="H5" s="19"/>
      <c r="I5" s="7"/>
    </row>
    <row r="6" spans="1:12">
      <c r="A6" s="8"/>
      <c r="B6" s="9"/>
      <c r="E6" s="7"/>
      <c r="I6" s="3"/>
    </row>
    <row r="7" spans="1:12">
      <c r="A7" s="1" t="s">
        <v>91</v>
      </c>
      <c r="B7" s="9"/>
      <c r="C7" s="20" t="s">
        <v>92</v>
      </c>
      <c r="E7" s="7"/>
      <c r="I7" s="3"/>
    </row>
    <row r="8" spans="1:12">
      <c r="A8" s="1" t="s">
        <v>4</v>
      </c>
      <c r="C8" s="20" t="s">
        <v>445</v>
      </c>
      <c r="I8" s="3"/>
    </row>
    <row r="9" spans="1:12">
      <c r="A9" s="1" t="s">
        <v>5</v>
      </c>
      <c r="C9" s="20" t="s">
        <v>446</v>
      </c>
    </row>
    <row r="10" spans="1:12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2">
      <c r="A11" s="1"/>
      <c r="C11" s="22" t="s">
        <v>6</v>
      </c>
      <c r="D11" s="22" t="s">
        <v>93</v>
      </c>
      <c r="E11" s="22" t="s">
        <v>93</v>
      </c>
      <c r="F11" s="22" t="s">
        <v>93</v>
      </c>
      <c r="G11" s="22" t="s">
        <v>93</v>
      </c>
      <c r="H11" s="22" t="s">
        <v>93</v>
      </c>
      <c r="I11" s="22" t="s">
        <v>94</v>
      </c>
      <c r="J11" s="22" t="s">
        <v>8</v>
      </c>
      <c r="K11" s="22" t="s">
        <v>7</v>
      </c>
      <c r="L11" s="22" t="s">
        <v>9</v>
      </c>
    </row>
    <row r="12" spans="1:12">
      <c r="A12" s="22" t="s">
        <v>10</v>
      </c>
      <c r="B12" s="22" t="s">
        <v>11</v>
      </c>
      <c r="C12" s="22" t="s">
        <v>12</v>
      </c>
      <c r="D12" s="22" t="s">
        <v>13</v>
      </c>
      <c r="E12" s="22" t="s">
        <v>14</v>
      </c>
      <c r="F12" s="22" t="s">
        <v>15</v>
      </c>
      <c r="G12" s="22" t="s">
        <v>16</v>
      </c>
      <c r="H12" s="22" t="s">
        <v>17</v>
      </c>
      <c r="I12" s="22" t="s">
        <v>95</v>
      </c>
      <c r="J12" s="22" t="s">
        <v>18</v>
      </c>
      <c r="K12" s="22" t="s">
        <v>19</v>
      </c>
      <c r="L12" s="22" t="s">
        <v>20</v>
      </c>
    </row>
    <row r="13" spans="1:12">
      <c r="A13" s="23">
        <v>1</v>
      </c>
      <c r="B13" s="45">
        <v>200710799</v>
      </c>
      <c r="C13" s="56" t="s">
        <v>25</v>
      </c>
      <c r="D13" s="24">
        <v>8.0500000000000007</v>
      </c>
      <c r="E13" s="24">
        <v>8.02</v>
      </c>
      <c r="F13" s="24">
        <v>10.199999999999999</v>
      </c>
      <c r="G13" s="24">
        <v>5.85</v>
      </c>
      <c r="H13" s="24">
        <v>11.4</v>
      </c>
      <c r="I13" s="24">
        <v>4.5</v>
      </c>
      <c r="J13" s="24">
        <f>+I13+H13+G13+F13+E13+D13</f>
        <v>48.019999999999996</v>
      </c>
      <c r="K13" s="24">
        <v>9.8000000000000007</v>
      </c>
      <c r="L13" s="25">
        <f>+K13+J13</f>
        <v>57.819999999999993</v>
      </c>
    </row>
    <row r="14" spans="1:12">
      <c r="A14" s="26">
        <v>2</v>
      </c>
      <c r="B14" s="45">
        <v>200741736</v>
      </c>
      <c r="C14" s="60" t="s">
        <v>26</v>
      </c>
      <c r="D14" s="24">
        <v>8.0500000000000007</v>
      </c>
      <c r="E14" s="24">
        <v>10.8</v>
      </c>
      <c r="F14" s="24">
        <v>7.67</v>
      </c>
      <c r="G14" s="24">
        <v>3.45</v>
      </c>
      <c r="H14" s="24">
        <v>9.3000000000000007</v>
      </c>
      <c r="I14" s="24">
        <v>4.75</v>
      </c>
      <c r="J14" s="24">
        <f t="shared" ref="J14:J72" si="0">+I14+H14+G14+F14+E14+D14</f>
        <v>44.019999999999996</v>
      </c>
      <c r="K14" s="24">
        <v>7.6</v>
      </c>
      <c r="L14" s="25">
        <f t="shared" ref="L14:L71" si="1">+K14+J14</f>
        <v>51.62</v>
      </c>
    </row>
    <row r="15" spans="1:12">
      <c r="A15" s="27">
        <v>3</v>
      </c>
      <c r="B15" s="57">
        <v>200742316</v>
      </c>
      <c r="C15" s="56" t="s">
        <v>28</v>
      </c>
      <c r="D15" s="24">
        <v>2.35</v>
      </c>
      <c r="E15" s="24">
        <v>3.9</v>
      </c>
      <c r="F15" s="24">
        <v>5.25</v>
      </c>
      <c r="G15" s="24">
        <v>0.67</v>
      </c>
      <c r="H15" s="24">
        <v>0</v>
      </c>
      <c r="I15" s="24">
        <v>4</v>
      </c>
      <c r="J15" s="24">
        <f t="shared" si="0"/>
        <v>16.170000000000002</v>
      </c>
      <c r="K15" s="24" t="s">
        <v>475</v>
      </c>
      <c r="L15" s="25">
        <f>+J15</f>
        <v>16.170000000000002</v>
      </c>
    </row>
    <row r="16" spans="1:12">
      <c r="A16" s="26">
        <v>4</v>
      </c>
      <c r="B16" s="45">
        <v>200742767</v>
      </c>
      <c r="C16" s="56" t="s">
        <v>31</v>
      </c>
      <c r="D16" s="24">
        <v>9.85</v>
      </c>
      <c r="E16" s="24">
        <v>9.82</v>
      </c>
      <c r="F16" s="24">
        <v>11.59</v>
      </c>
      <c r="G16" s="24">
        <v>8.77</v>
      </c>
      <c r="H16" s="24">
        <v>11.7</v>
      </c>
      <c r="I16" s="24">
        <v>3.2</v>
      </c>
      <c r="J16" s="24">
        <f t="shared" si="0"/>
        <v>54.93</v>
      </c>
      <c r="K16" s="24">
        <v>9.1999999999999993</v>
      </c>
      <c r="L16" s="25">
        <f t="shared" si="1"/>
        <v>64.13</v>
      </c>
    </row>
    <row r="17" spans="1:12">
      <c r="A17" s="26">
        <v>5</v>
      </c>
      <c r="B17" s="45">
        <v>200840120</v>
      </c>
      <c r="C17" s="56" t="s">
        <v>34</v>
      </c>
      <c r="D17" s="24">
        <v>7</v>
      </c>
      <c r="E17" s="24">
        <v>5.0999999999999996</v>
      </c>
      <c r="F17" s="24">
        <v>9.6199999999999992</v>
      </c>
      <c r="G17" s="24">
        <v>4.87</v>
      </c>
      <c r="H17" s="24">
        <v>8.1</v>
      </c>
      <c r="I17" s="24">
        <v>4.5</v>
      </c>
      <c r="J17" s="24">
        <f t="shared" si="0"/>
        <v>39.19</v>
      </c>
      <c r="K17" s="24" t="s">
        <v>475</v>
      </c>
      <c r="L17" s="25">
        <f>+J17</f>
        <v>39.19</v>
      </c>
    </row>
    <row r="18" spans="1:12">
      <c r="A18" s="26">
        <v>6</v>
      </c>
      <c r="B18" s="45">
        <v>200840126</v>
      </c>
      <c r="C18" s="56" t="s">
        <v>35</v>
      </c>
      <c r="D18" s="24">
        <v>4.3</v>
      </c>
      <c r="E18" s="24">
        <v>7.05</v>
      </c>
      <c r="F18" s="24">
        <v>5.3</v>
      </c>
      <c r="G18" s="24">
        <v>2.77</v>
      </c>
      <c r="H18" s="24">
        <v>0</v>
      </c>
      <c r="I18" s="24">
        <v>4.25</v>
      </c>
      <c r="J18" s="24">
        <f t="shared" si="0"/>
        <v>23.67</v>
      </c>
      <c r="K18" s="24" t="s">
        <v>475</v>
      </c>
      <c r="L18" s="25">
        <f>+J18</f>
        <v>23.67</v>
      </c>
    </row>
    <row r="19" spans="1:12">
      <c r="A19" s="26">
        <v>7</v>
      </c>
      <c r="B19" s="57">
        <v>200840140</v>
      </c>
      <c r="C19" s="56" t="s">
        <v>36</v>
      </c>
      <c r="D19" s="24">
        <v>8.5</v>
      </c>
      <c r="E19" s="24">
        <v>12</v>
      </c>
      <c r="F19" s="24">
        <v>9.02</v>
      </c>
      <c r="G19" s="24">
        <v>4.57</v>
      </c>
      <c r="H19" s="24">
        <v>10.5</v>
      </c>
      <c r="I19" s="24">
        <v>5</v>
      </c>
      <c r="J19" s="24">
        <f t="shared" si="0"/>
        <v>49.59</v>
      </c>
      <c r="K19" s="24">
        <v>12.2</v>
      </c>
      <c r="L19" s="25">
        <f t="shared" si="1"/>
        <v>61.790000000000006</v>
      </c>
    </row>
    <row r="20" spans="1:12">
      <c r="A20" s="26">
        <v>8</v>
      </c>
      <c r="B20" s="45">
        <v>200840174</v>
      </c>
      <c r="C20" s="56" t="s">
        <v>37</v>
      </c>
      <c r="D20" s="24">
        <v>7.15</v>
      </c>
      <c r="E20" s="24">
        <v>10.35</v>
      </c>
      <c r="F20" s="24">
        <v>8.7200000000000006</v>
      </c>
      <c r="G20" s="24">
        <v>8.4</v>
      </c>
      <c r="H20" s="24">
        <v>9.6</v>
      </c>
      <c r="I20" s="24">
        <v>5</v>
      </c>
      <c r="J20" s="24">
        <f t="shared" si="0"/>
        <v>49.22</v>
      </c>
      <c r="K20" s="24">
        <v>11.4</v>
      </c>
      <c r="L20" s="25">
        <f t="shared" si="1"/>
        <v>60.62</v>
      </c>
    </row>
    <row r="21" spans="1:12">
      <c r="A21" s="26">
        <v>9</v>
      </c>
      <c r="B21" s="45">
        <v>200840175</v>
      </c>
      <c r="C21" s="56" t="s">
        <v>38</v>
      </c>
      <c r="D21" s="24">
        <v>9.85</v>
      </c>
      <c r="E21" s="24">
        <v>10.199999999999999</v>
      </c>
      <c r="F21" s="24">
        <v>9.32</v>
      </c>
      <c r="G21" s="24">
        <v>6.82</v>
      </c>
      <c r="H21" s="24">
        <v>9.9</v>
      </c>
      <c r="I21" s="24">
        <v>5</v>
      </c>
      <c r="J21" s="24">
        <f t="shared" si="0"/>
        <v>51.089999999999996</v>
      </c>
      <c r="K21" s="24">
        <v>10.199999999999999</v>
      </c>
      <c r="L21" s="25">
        <f t="shared" si="1"/>
        <v>61.289999999999992</v>
      </c>
    </row>
    <row r="22" spans="1:12">
      <c r="A22" s="26">
        <v>10</v>
      </c>
      <c r="B22" s="45">
        <v>200840186</v>
      </c>
      <c r="C22" s="56" t="s">
        <v>39</v>
      </c>
      <c r="D22" s="24">
        <v>6.55</v>
      </c>
      <c r="E22" s="24">
        <v>11.62</v>
      </c>
      <c r="F22" s="24">
        <v>7.82</v>
      </c>
      <c r="G22" s="24">
        <v>8.25</v>
      </c>
      <c r="H22" s="24">
        <v>10.95</v>
      </c>
      <c r="I22" s="24">
        <v>5</v>
      </c>
      <c r="J22" s="24">
        <f t="shared" si="0"/>
        <v>50.189999999999991</v>
      </c>
      <c r="K22" s="24">
        <v>11.3</v>
      </c>
      <c r="L22" s="25">
        <f t="shared" si="1"/>
        <v>61.489999999999995</v>
      </c>
    </row>
    <row r="23" spans="1:12">
      <c r="A23" s="26">
        <v>11</v>
      </c>
      <c r="B23" s="45">
        <v>200840188</v>
      </c>
      <c r="C23" s="56" t="s">
        <v>40</v>
      </c>
      <c r="D23" s="24">
        <v>4</v>
      </c>
      <c r="E23" s="24">
        <v>8.5500000000000007</v>
      </c>
      <c r="F23" s="24">
        <v>4.67</v>
      </c>
      <c r="G23" s="24">
        <v>3.37</v>
      </c>
      <c r="H23" s="28">
        <v>0</v>
      </c>
      <c r="I23" s="28">
        <v>3.9</v>
      </c>
      <c r="J23" s="24">
        <f t="shared" si="0"/>
        <v>24.490000000000002</v>
      </c>
      <c r="K23" s="24" t="s">
        <v>475</v>
      </c>
      <c r="L23" s="25">
        <f>+J23</f>
        <v>24.490000000000002</v>
      </c>
    </row>
    <row r="24" spans="1:12">
      <c r="A24" s="26">
        <v>12</v>
      </c>
      <c r="B24" s="45">
        <v>200840198</v>
      </c>
      <c r="C24" s="56" t="s">
        <v>41</v>
      </c>
      <c r="D24" s="24">
        <v>8.5</v>
      </c>
      <c r="E24" s="24">
        <v>8.32</v>
      </c>
      <c r="F24" s="24">
        <v>7.6</v>
      </c>
      <c r="G24" s="24">
        <v>3.22</v>
      </c>
      <c r="H24" s="28">
        <v>9.6</v>
      </c>
      <c r="I24" s="28">
        <v>5</v>
      </c>
      <c r="J24" s="24">
        <f t="shared" si="0"/>
        <v>42.24</v>
      </c>
      <c r="K24" s="24">
        <v>3.2</v>
      </c>
      <c r="L24" s="25">
        <f t="shared" si="1"/>
        <v>45.440000000000005</v>
      </c>
    </row>
    <row r="25" spans="1:12">
      <c r="A25" s="26">
        <v>13</v>
      </c>
      <c r="B25" s="57">
        <v>200840211</v>
      </c>
      <c r="C25" s="56" t="s">
        <v>42</v>
      </c>
      <c r="D25" s="24">
        <v>2.65</v>
      </c>
      <c r="E25" s="24">
        <v>4.5</v>
      </c>
      <c r="F25" s="24">
        <v>2.98</v>
      </c>
      <c r="G25" s="24">
        <v>0.45</v>
      </c>
      <c r="H25" s="28">
        <v>0.6</v>
      </c>
      <c r="I25" s="28">
        <v>4.8</v>
      </c>
      <c r="J25" s="24">
        <f t="shared" si="0"/>
        <v>15.98</v>
      </c>
      <c r="K25" s="24" t="s">
        <v>475</v>
      </c>
      <c r="L25" s="25">
        <f>+J25</f>
        <v>15.98</v>
      </c>
    </row>
    <row r="26" spans="1:12">
      <c r="A26" s="23">
        <v>14</v>
      </c>
      <c r="B26" s="45">
        <v>200840714</v>
      </c>
      <c r="C26" s="56" t="s">
        <v>43</v>
      </c>
      <c r="D26" s="24">
        <v>10.6</v>
      </c>
      <c r="E26" s="24">
        <v>12.9</v>
      </c>
      <c r="F26" s="24">
        <v>12.83</v>
      </c>
      <c r="G26" s="24">
        <v>13.35</v>
      </c>
      <c r="H26" s="28">
        <v>12.9</v>
      </c>
      <c r="I26" s="28">
        <v>4.05</v>
      </c>
      <c r="J26" s="24">
        <f t="shared" si="0"/>
        <v>66.63</v>
      </c>
      <c r="K26" s="24">
        <v>16.68</v>
      </c>
      <c r="L26" s="25">
        <f t="shared" si="1"/>
        <v>83.31</v>
      </c>
    </row>
    <row r="27" spans="1:12">
      <c r="A27" s="23">
        <v>15</v>
      </c>
      <c r="B27" s="45">
        <v>200842032</v>
      </c>
      <c r="C27" s="60" t="s">
        <v>44</v>
      </c>
      <c r="D27" s="24">
        <v>5.8</v>
      </c>
      <c r="E27" s="24">
        <v>5.7</v>
      </c>
      <c r="F27" s="24">
        <v>5.95</v>
      </c>
      <c r="G27" s="24">
        <v>0.3</v>
      </c>
      <c r="H27" s="24">
        <v>0</v>
      </c>
      <c r="I27" s="24">
        <v>3.1</v>
      </c>
      <c r="J27" s="24">
        <f t="shared" si="0"/>
        <v>20.85</v>
      </c>
      <c r="K27" s="24" t="s">
        <v>475</v>
      </c>
      <c r="L27" s="25">
        <f>+J27</f>
        <v>20.85</v>
      </c>
    </row>
    <row r="28" spans="1:12">
      <c r="A28" s="23">
        <v>16</v>
      </c>
      <c r="B28" s="45">
        <v>200842044</v>
      </c>
      <c r="C28" s="60" t="s">
        <v>45</v>
      </c>
      <c r="D28" s="24">
        <v>10.07</v>
      </c>
      <c r="E28" s="24">
        <v>10.57</v>
      </c>
      <c r="F28" s="24">
        <v>12.68</v>
      </c>
      <c r="G28" s="24">
        <v>6.82</v>
      </c>
      <c r="H28" s="24">
        <v>10.199999999999999</v>
      </c>
      <c r="I28" s="24">
        <v>5</v>
      </c>
      <c r="J28" s="24">
        <f t="shared" si="0"/>
        <v>55.34</v>
      </c>
      <c r="K28" s="24">
        <v>10.199999999999999</v>
      </c>
      <c r="L28" s="25">
        <f t="shared" si="1"/>
        <v>65.540000000000006</v>
      </c>
    </row>
    <row r="29" spans="1:12">
      <c r="A29" s="23">
        <v>17</v>
      </c>
      <c r="B29" s="45">
        <v>200842058</v>
      </c>
      <c r="C29" s="56" t="s">
        <v>46</v>
      </c>
      <c r="D29" s="24">
        <v>9.6999999999999993</v>
      </c>
      <c r="E29" s="24">
        <v>7.35</v>
      </c>
      <c r="F29" s="24">
        <v>5.95</v>
      </c>
      <c r="G29" s="24">
        <v>3.07</v>
      </c>
      <c r="H29" s="24">
        <v>8.4</v>
      </c>
      <c r="I29" s="24">
        <v>5</v>
      </c>
      <c r="J29" s="24">
        <f t="shared" si="0"/>
        <v>39.47</v>
      </c>
      <c r="K29" s="24" t="s">
        <v>475</v>
      </c>
      <c r="L29" s="25">
        <f>+J29</f>
        <v>39.47</v>
      </c>
    </row>
    <row r="30" spans="1:12">
      <c r="A30" s="27">
        <v>18</v>
      </c>
      <c r="B30" s="45">
        <v>200842060</v>
      </c>
      <c r="C30" s="56" t="s">
        <v>47</v>
      </c>
      <c r="D30" s="24">
        <v>9.5500000000000007</v>
      </c>
      <c r="E30" s="24">
        <v>11.17</v>
      </c>
      <c r="F30" s="24">
        <v>10.43</v>
      </c>
      <c r="G30" s="24">
        <v>12.07</v>
      </c>
      <c r="H30" s="24">
        <v>12.6</v>
      </c>
      <c r="I30" s="24">
        <v>5</v>
      </c>
      <c r="J30" s="24">
        <f t="shared" si="0"/>
        <v>60.820000000000007</v>
      </c>
      <c r="K30" s="24">
        <v>16.88</v>
      </c>
      <c r="L30" s="25">
        <f t="shared" si="1"/>
        <v>77.7</v>
      </c>
    </row>
    <row r="31" spans="1:12">
      <c r="A31" s="27">
        <v>19</v>
      </c>
      <c r="B31" s="57">
        <v>200842061</v>
      </c>
      <c r="C31" s="56" t="s">
        <v>48</v>
      </c>
      <c r="D31" s="24">
        <v>3.55</v>
      </c>
      <c r="E31" s="24">
        <v>9.3000000000000007</v>
      </c>
      <c r="F31" s="24">
        <v>2.2000000000000002</v>
      </c>
      <c r="G31" s="24">
        <v>3.22</v>
      </c>
      <c r="H31" s="24">
        <v>1.5</v>
      </c>
      <c r="I31" s="24">
        <v>3.4</v>
      </c>
      <c r="J31" s="24">
        <f t="shared" si="0"/>
        <v>23.17</v>
      </c>
      <c r="K31" s="24" t="s">
        <v>475</v>
      </c>
      <c r="L31" s="25">
        <f>+J31</f>
        <v>23.17</v>
      </c>
    </row>
    <row r="32" spans="1:12">
      <c r="A32" s="27">
        <v>20</v>
      </c>
      <c r="B32" s="45">
        <v>200842077</v>
      </c>
      <c r="C32" s="56" t="s">
        <v>49</v>
      </c>
      <c r="D32" s="24">
        <v>4.45</v>
      </c>
      <c r="E32" s="24">
        <v>8.25</v>
      </c>
      <c r="F32" s="24">
        <v>7.15</v>
      </c>
      <c r="G32" s="24">
        <v>2.1</v>
      </c>
      <c r="H32" s="24">
        <v>0</v>
      </c>
      <c r="I32" s="24">
        <v>5</v>
      </c>
      <c r="J32" s="24">
        <f t="shared" si="0"/>
        <v>26.95</v>
      </c>
      <c r="K32" s="24" t="s">
        <v>475</v>
      </c>
      <c r="L32" s="25">
        <f t="shared" ref="L32:L33" si="2">+J32</f>
        <v>26.95</v>
      </c>
    </row>
    <row r="33" spans="1:12">
      <c r="A33" s="27">
        <v>21</v>
      </c>
      <c r="B33" s="45">
        <v>200842129</v>
      </c>
      <c r="C33" s="56" t="s">
        <v>50</v>
      </c>
      <c r="D33" s="24">
        <v>9.85</v>
      </c>
      <c r="E33" s="24">
        <v>9.4499999999999993</v>
      </c>
      <c r="F33" s="24">
        <v>4.18</v>
      </c>
      <c r="G33" s="24">
        <v>1.65</v>
      </c>
      <c r="H33" s="24">
        <v>6</v>
      </c>
      <c r="I33" s="24">
        <v>4.8</v>
      </c>
      <c r="J33" s="24">
        <f t="shared" si="0"/>
        <v>35.93</v>
      </c>
      <c r="K33" s="24" t="s">
        <v>475</v>
      </c>
      <c r="L33" s="25">
        <f t="shared" si="2"/>
        <v>35.93</v>
      </c>
    </row>
    <row r="34" spans="1:12">
      <c r="A34" s="27">
        <v>22</v>
      </c>
      <c r="B34" s="45">
        <v>200842227</v>
      </c>
      <c r="C34" s="56" t="s">
        <v>51</v>
      </c>
      <c r="D34" s="24">
        <v>10.3</v>
      </c>
      <c r="E34" s="24">
        <v>12.3</v>
      </c>
      <c r="F34" s="24">
        <v>8.35</v>
      </c>
      <c r="G34" s="24">
        <v>6.9</v>
      </c>
      <c r="H34" s="24">
        <v>9.3000000000000007</v>
      </c>
      <c r="I34" s="24">
        <v>5</v>
      </c>
      <c r="J34" s="24">
        <f t="shared" si="0"/>
        <v>52.150000000000006</v>
      </c>
      <c r="K34" s="24">
        <v>13</v>
      </c>
      <c r="L34" s="25">
        <f t="shared" si="1"/>
        <v>65.150000000000006</v>
      </c>
    </row>
    <row r="35" spans="1:12">
      <c r="A35" s="27">
        <v>23</v>
      </c>
      <c r="B35" s="45">
        <v>200940284</v>
      </c>
      <c r="C35" s="60" t="s">
        <v>53</v>
      </c>
      <c r="D35" s="24">
        <v>4</v>
      </c>
      <c r="E35" s="24">
        <v>6.52</v>
      </c>
      <c r="F35" s="24">
        <v>6.6</v>
      </c>
      <c r="G35" s="24">
        <v>3</v>
      </c>
      <c r="H35" s="24">
        <v>0</v>
      </c>
      <c r="I35" s="24">
        <v>4.5</v>
      </c>
      <c r="J35" s="24">
        <f t="shared" si="0"/>
        <v>24.619999999999997</v>
      </c>
      <c r="K35" s="24" t="s">
        <v>475</v>
      </c>
      <c r="L35" s="25">
        <f>+J35</f>
        <v>24.619999999999997</v>
      </c>
    </row>
    <row r="36" spans="1:12">
      <c r="A36" s="27">
        <v>24</v>
      </c>
      <c r="B36" s="45">
        <v>200940311</v>
      </c>
      <c r="C36" s="59" t="s">
        <v>54</v>
      </c>
      <c r="D36" s="24">
        <v>5.05</v>
      </c>
      <c r="E36" s="24">
        <v>6.75</v>
      </c>
      <c r="F36" s="24">
        <v>4.45</v>
      </c>
      <c r="G36" s="24">
        <v>1.05</v>
      </c>
      <c r="H36" s="24">
        <v>0</v>
      </c>
      <c r="I36" s="24">
        <v>3.05</v>
      </c>
      <c r="J36" s="24">
        <f t="shared" si="0"/>
        <v>20.350000000000001</v>
      </c>
      <c r="K36" s="24" t="s">
        <v>475</v>
      </c>
      <c r="L36" s="25">
        <f t="shared" ref="L36:L40" si="3">+J36</f>
        <v>20.350000000000001</v>
      </c>
    </row>
    <row r="37" spans="1:12">
      <c r="A37" s="27">
        <v>25</v>
      </c>
      <c r="B37" s="45">
        <v>200940313</v>
      </c>
      <c r="C37" s="56" t="s">
        <v>55</v>
      </c>
      <c r="D37" s="24">
        <v>3.1</v>
      </c>
      <c r="E37" s="24">
        <v>4.5</v>
      </c>
      <c r="F37" s="24">
        <v>4.99</v>
      </c>
      <c r="G37" s="24">
        <f>+H37</f>
        <v>2.7</v>
      </c>
      <c r="H37" s="24">
        <v>2.7</v>
      </c>
      <c r="I37" s="24">
        <v>3.7</v>
      </c>
      <c r="J37" s="24">
        <f t="shared" si="0"/>
        <v>21.690000000000005</v>
      </c>
      <c r="K37" s="24" t="s">
        <v>475</v>
      </c>
      <c r="L37" s="25">
        <f t="shared" si="3"/>
        <v>21.690000000000005</v>
      </c>
    </row>
    <row r="38" spans="1:12">
      <c r="A38" s="27">
        <v>26</v>
      </c>
      <c r="B38" s="45">
        <v>200940323</v>
      </c>
      <c r="C38" s="56" t="s">
        <v>56</v>
      </c>
      <c r="D38" s="24">
        <v>5.05</v>
      </c>
      <c r="E38" s="24">
        <v>0</v>
      </c>
      <c r="F38" s="24">
        <v>0</v>
      </c>
      <c r="G38" s="24">
        <v>0</v>
      </c>
      <c r="H38" s="24">
        <v>0</v>
      </c>
      <c r="I38" s="24">
        <v>3.05</v>
      </c>
      <c r="J38" s="24">
        <f t="shared" si="0"/>
        <v>8.1</v>
      </c>
      <c r="K38" s="24" t="s">
        <v>475</v>
      </c>
      <c r="L38" s="25">
        <f t="shared" si="3"/>
        <v>8.1</v>
      </c>
    </row>
    <row r="39" spans="1:12">
      <c r="A39" s="27">
        <v>27</v>
      </c>
      <c r="B39" s="45">
        <v>200940326</v>
      </c>
      <c r="C39" s="56" t="s">
        <v>57</v>
      </c>
      <c r="D39" s="24">
        <v>7.3</v>
      </c>
      <c r="E39" s="24">
        <v>8.5500000000000007</v>
      </c>
      <c r="F39" s="24">
        <v>0</v>
      </c>
      <c r="G39" s="24">
        <v>0</v>
      </c>
      <c r="H39" s="24">
        <v>0</v>
      </c>
      <c r="I39" s="24">
        <v>3.1</v>
      </c>
      <c r="J39" s="24">
        <f t="shared" si="0"/>
        <v>18.95</v>
      </c>
      <c r="K39" s="24" t="s">
        <v>475</v>
      </c>
      <c r="L39" s="25">
        <f t="shared" si="3"/>
        <v>18.95</v>
      </c>
    </row>
    <row r="40" spans="1:12">
      <c r="A40" s="27">
        <v>28</v>
      </c>
      <c r="B40" s="45">
        <v>200940327</v>
      </c>
      <c r="C40" s="56" t="s">
        <v>58</v>
      </c>
      <c r="D40" s="24">
        <v>3.85</v>
      </c>
      <c r="E40" s="24">
        <v>6</v>
      </c>
      <c r="F40" s="24">
        <v>6.02</v>
      </c>
      <c r="G40" s="24">
        <v>3</v>
      </c>
      <c r="H40" s="24">
        <v>0</v>
      </c>
      <c r="I40" s="24">
        <v>3.6</v>
      </c>
      <c r="J40" s="24">
        <f t="shared" si="0"/>
        <v>22.47</v>
      </c>
      <c r="K40" s="24" t="s">
        <v>475</v>
      </c>
      <c r="L40" s="25">
        <f t="shared" si="3"/>
        <v>22.47</v>
      </c>
    </row>
    <row r="41" spans="1:12">
      <c r="A41" s="27">
        <v>29</v>
      </c>
      <c r="B41" s="45">
        <v>200940328</v>
      </c>
      <c r="C41" s="59" t="s">
        <v>59</v>
      </c>
      <c r="D41" s="24">
        <v>6.7</v>
      </c>
      <c r="E41" s="24">
        <v>9.9700000000000006</v>
      </c>
      <c r="F41" s="24">
        <v>5.2</v>
      </c>
      <c r="G41" s="24">
        <v>4.57</v>
      </c>
      <c r="H41" s="24">
        <v>12.3</v>
      </c>
      <c r="I41" s="24">
        <v>4.5</v>
      </c>
      <c r="J41" s="24">
        <f t="shared" si="0"/>
        <v>43.24</v>
      </c>
      <c r="K41" s="24">
        <v>9</v>
      </c>
      <c r="L41" s="25">
        <f t="shared" si="1"/>
        <v>52.24</v>
      </c>
    </row>
    <row r="42" spans="1:12">
      <c r="A42" s="27">
        <v>30</v>
      </c>
      <c r="B42" s="45">
        <v>200940340</v>
      </c>
      <c r="C42" s="59" t="s">
        <v>60</v>
      </c>
      <c r="D42" s="24">
        <v>6.7</v>
      </c>
      <c r="E42" s="24">
        <v>9.67</v>
      </c>
      <c r="F42" s="24">
        <v>8.93</v>
      </c>
      <c r="G42" s="24">
        <v>10.65</v>
      </c>
      <c r="H42" s="24">
        <v>11.1</v>
      </c>
      <c r="I42" s="24">
        <v>5</v>
      </c>
      <c r="J42" s="24">
        <f t="shared" si="0"/>
        <v>52.050000000000004</v>
      </c>
      <c r="K42" s="24">
        <v>11.2</v>
      </c>
      <c r="L42" s="25">
        <f t="shared" si="1"/>
        <v>63.25</v>
      </c>
    </row>
    <row r="43" spans="1:12">
      <c r="A43" s="27">
        <v>31</v>
      </c>
      <c r="B43" s="45">
        <v>200940355</v>
      </c>
      <c r="C43" s="59" t="s">
        <v>61</v>
      </c>
      <c r="D43" s="24">
        <v>4.75</v>
      </c>
      <c r="E43" s="24">
        <v>5.7</v>
      </c>
      <c r="F43" s="24">
        <v>1.84</v>
      </c>
      <c r="G43" s="24">
        <v>6.9</v>
      </c>
      <c r="H43" s="24">
        <v>6.9</v>
      </c>
      <c r="I43" s="24">
        <v>4.0999999999999996</v>
      </c>
      <c r="J43" s="24">
        <f t="shared" si="0"/>
        <v>30.189999999999998</v>
      </c>
      <c r="K43" s="24" t="s">
        <v>475</v>
      </c>
      <c r="L43" s="25">
        <f>+J43</f>
        <v>30.189999999999998</v>
      </c>
    </row>
    <row r="44" spans="1:12">
      <c r="A44" s="27">
        <v>32</v>
      </c>
      <c r="B44" s="45">
        <v>200940359</v>
      </c>
      <c r="C44" s="56" t="s">
        <v>62</v>
      </c>
      <c r="D44" s="24">
        <v>5.05</v>
      </c>
      <c r="E44" s="24">
        <v>6.9</v>
      </c>
      <c r="F44" s="24">
        <v>5.75</v>
      </c>
      <c r="G44" s="24">
        <v>2.25</v>
      </c>
      <c r="H44" s="24">
        <v>0</v>
      </c>
      <c r="I44" s="24">
        <v>4.0999999999999996</v>
      </c>
      <c r="J44" s="24">
        <f t="shared" si="0"/>
        <v>24.05</v>
      </c>
      <c r="K44" s="24" t="s">
        <v>475</v>
      </c>
      <c r="L44" s="25">
        <f t="shared" ref="L44:L50" si="4">+J44</f>
        <v>24.05</v>
      </c>
    </row>
    <row r="45" spans="1:12">
      <c r="A45" s="27">
        <v>33</v>
      </c>
      <c r="B45" s="45">
        <v>200940361</v>
      </c>
      <c r="C45" s="59" t="s">
        <v>63</v>
      </c>
      <c r="D45" s="24">
        <v>4.45</v>
      </c>
      <c r="E45" s="24">
        <v>4.5</v>
      </c>
      <c r="F45" s="24">
        <v>3.2</v>
      </c>
      <c r="G45" s="24">
        <v>2.77</v>
      </c>
      <c r="H45" s="24">
        <v>0</v>
      </c>
      <c r="I45" s="24">
        <v>3.8</v>
      </c>
      <c r="J45" s="24">
        <f t="shared" si="0"/>
        <v>18.72</v>
      </c>
      <c r="K45" s="24" t="s">
        <v>475</v>
      </c>
      <c r="L45" s="25">
        <f t="shared" si="4"/>
        <v>18.72</v>
      </c>
    </row>
    <row r="46" spans="1:12">
      <c r="A46" s="27">
        <v>34</v>
      </c>
      <c r="B46" s="45">
        <v>200940365</v>
      </c>
      <c r="C46" s="56" t="s">
        <v>64</v>
      </c>
      <c r="D46" s="24">
        <v>7.9</v>
      </c>
      <c r="E46" s="24">
        <v>9.82</v>
      </c>
      <c r="F46" s="24">
        <v>7.18</v>
      </c>
      <c r="G46" s="24">
        <v>3.67</v>
      </c>
      <c r="H46" s="24">
        <v>6.6</v>
      </c>
      <c r="I46" s="24">
        <v>4.5</v>
      </c>
      <c r="J46" s="24">
        <f t="shared" si="0"/>
        <v>39.67</v>
      </c>
      <c r="K46" s="24" t="s">
        <v>475</v>
      </c>
      <c r="L46" s="25">
        <f t="shared" si="4"/>
        <v>39.67</v>
      </c>
    </row>
    <row r="47" spans="1:12">
      <c r="A47" s="27">
        <v>35</v>
      </c>
      <c r="B47" s="57">
        <v>200940438</v>
      </c>
      <c r="C47" s="58" t="s">
        <v>65</v>
      </c>
      <c r="D47" s="24">
        <v>3.77</v>
      </c>
      <c r="E47" s="24">
        <v>9.67</v>
      </c>
      <c r="F47" s="24">
        <v>5.2</v>
      </c>
      <c r="G47" s="24">
        <v>0.9</v>
      </c>
      <c r="H47" s="24">
        <v>2.4</v>
      </c>
      <c r="I47" s="24">
        <v>4.5</v>
      </c>
      <c r="J47" s="24">
        <f t="shared" si="0"/>
        <v>26.44</v>
      </c>
      <c r="K47" s="24" t="s">
        <v>475</v>
      </c>
      <c r="L47" s="25">
        <f t="shared" si="4"/>
        <v>26.44</v>
      </c>
    </row>
    <row r="48" spans="1:12">
      <c r="A48" s="27">
        <v>36</v>
      </c>
      <c r="B48" s="45">
        <v>200940473</v>
      </c>
      <c r="C48" s="56" t="s">
        <v>66</v>
      </c>
      <c r="D48" s="24">
        <v>4.9000000000000004</v>
      </c>
      <c r="E48" s="24">
        <v>3.75</v>
      </c>
      <c r="F48" s="24">
        <v>4.4000000000000004</v>
      </c>
      <c r="G48" s="24">
        <f>+H48</f>
        <v>1.8</v>
      </c>
      <c r="H48" s="24">
        <v>1.8</v>
      </c>
      <c r="I48" s="24">
        <v>2.85</v>
      </c>
      <c r="J48" s="24">
        <f t="shared" si="0"/>
        <v>19.5</v>
      </c>
      <c r="K48" s="24" t="s">
        <v>475</v>
      </c>
      <c r="L48" s="25">
        <f t="shared" si="4"/>
        <v>19.5</v>
      </c>
    </row>
    <row r="49" spans="1:12">
      <c r="A49" s="27">
        <v>37</v>
      </c>
      <c r="B49" s="45">
        <v>200940475</v>
      </c>
      <c r="C49" s="56" t="s">
        <v>67</v>
      </c>
      <c r="D49" s="24">
        <v>7.9</v>
      </c>
      <c r="E49" s="24">
        <v>7.72</v>
      </c>
      <c r="F49" s="24">
        <v>6.28</v>
      </c>
      <c r="G49" s="24">
        <v>2.77</v>
      </c>
      <c r="H49" s="24">
        <v>8.6999999999999993</v>
      </c>
      <c r="I49" s="24">
        <v>4.4000000000000004</v>
      </c>
      <c r="J49" s="24">
        <f t="shared" si="0"/>
        <v>37.769999999999996</v>
      </c>
      <c r="K49" s="24" t="s">
        <v>475</v>
      </c>
      <c r="L49" s="25">
        <f t="shared" si="4"/>
        <v>37.769999999999996</v>
      </c>
    </row>
    <row r="50" spans="1:12">
      <c r="A50" s="27">
        <v>38</v>
      </c>
      <c r="B50" s="45">
        <v>200940477</v>
      </c>
      <c r="C50" s="56" t="s">
        <v>68</v>
      </c>
      <c r="D50" s="24">
        <v>2.95</v>
      </c>
      <c r="E50" s="24">
        <v>9.15</v>
      </c>
      <c r="F50" s="24">
        <v>6.2</v>
      </c>
      <c r="G50" s="24">
        <v>3.22</v>
      </c>
      <c r="H50" s="24">
        <v>0</v>
      </c>
      <c r="I50" s="24">
        <v>3.5</v>
      </c>
      <c r="J50" s="24">
        <f t="shared" si="0"/>
        <v>25.02</v>
      </c>
      <c r="K50" s="24" t="s">
        <v>475</v>
      </c>
      <c r="L50" s="25">
        <f t="shared" si="4"/>
        <v>25.02</v>
      </c>
    </row>
    <row r="51" spans="1:12">
      <c r="A51" s="27">
        <v>39</v>
      </c>
      <c r="B51" s="45">
        <v>200940482</v>
      </c>
      <c r="C51" s="56" t="s">
        <v>69</v>
      </c>
      <c r="D51" s="24">
        <v>6.25</v>
      </c>
      <c r="E51" s="24">
        <v>9.3699999999999992</v>
      </c>
      <c r="F51" s="24">
        <v>9.07</v>
      </c>
      <c r="G51" s="24">
        <v>8.6199999999999992</v>
      </c>
      <c r="H51" s="24">
        <v>12</v>
      </c>
      <c r="I51" s="24">
        <v>4.8</v>
      </c>
      <c r="J51" s="24">
        <f t="shared" si="0"/>
        <v>50.11</v>
      </c>
      <c r="K51" s="24">
        <v>8.1999999999999993</v>
      </c>
      <c r="L51" s="25">
        <f t="shared" si="1"/>
        <v>58.31</v>
      </c>
    </row>
    <row r="52" spans="1:12">
      <c r="A52" s="27">
        <v>40</v>
      </c>
      <c r="B52" s="57">
        <v>200940485</v>
      </c>
      <c r="C52" s="58" t="s">
        <v>70</v>
      </c>
      <c r="D52" s="24">
        <v>4.3</v>
      </c>
      <c r="E52" s="24">
        <v>3</v>
      </c>
      <c r="F52" s="24">
        <v>2.58</v>
      </c>
      <c r="G52" s="24">
        <v>0</v>
      </c>
      <c r="H52" s="24">
        <v>0</v>
      </c>
      <c r="I52" s="24">
        <v>3.05</v>
      </c>
      <c r="J52" s="24">
        <f t="shared" si="0"/>
        <v>12.93</v>
      </c>
      <c r="K52" s="24" t="s">
        <v>475</v>
      </c>
      <c r="L52" s="25">
        <f>+J52</f>
        <v>12.93</v>
      </c>
    </row>
    <row r="53" spans="1:12">
      <c r="A53" s="27">
        <v>41</v>
      </c>
      <c r="B53" s="45">
        <v>200940487</v>
      </c>
      <c r="C53" s="56" t="s">
        <v>71</v>
      </c>
      <c r="D53" s="24">
        <v>2.8</v>
      </c>
      <c r="E53" s="24">
        <v>3.6</v>
      </c>
      <c r="F53" s="24">
        <v>4.05</v>
      </c>
      <c r="G53" s="24">
        <v>0</v>
      </c>
      <c r="H53" s="24">
        <v>0</v>
      </c>
      <c r="I53" s="24">
        <v>4.05</v>
      </c>
      <c r="J53" s="24">
        <f t="shared" si="0"/>
        <v>14.5</v>
      </c>
      <c r="K53" s="24" t="s">
        <v>475</v>
      </c>
      <c r="L53" s="25">
        <f t="shared" ref="L53:L54" si="5">+J53</f>
        <v>14.5</v>
      </c>
    </row>
    <row r="54" spans="1:12">
      <c r="A54" s="27">
        <v>42</v>
      </c>
      <c r="B54" s="45">
        <v>200940501</v>
      </c>
      <c r="C54" s="59" t="s">
        <v>72</v>
      </c>
      <c r="D54" s="24">
        <v>4</v>
      </c>
      <c r="E54" s="24">
        <v>9.2200000000000006</v>
      </c>
      <c r="F54" s="24">
        <v>8.9499999999999993</v>
      </c>
      <c r="G54" s="24">
        <v>0.9</v>
      </c>
      <c r="H54" s="24">
        <v>0</v>
      </c>
      <c r="I54" s="24">
        <v>3.1</v>
      </c>
      <c r="J54" s="24">
        <f t="shared" si="0"/>
        <v>26.17</v>
      </c>
      <c r="K54" s="24" t="s">
        <v>475</v>
      </c>
      <c r="L54" s="25">
        <f t="shared" si="5"/>
        <v>26.17</v>
      </c>
    </row>
    <row r="55" spans="1:12">
      <c r="A55" s="27">
        <v>43</v>
      </c>
      <c r="B55" s="45">
        <v>200940509</v>
      </c>
      <c r="C55" s="56" t="s">
        <v>73</v>
      </c>
      <c r="D55" s="24">
        <v>9.6999999999999993</v>
      </c>
      <c r="E55" s="24">
        <v>12</v>
      </c>
      <c r="F55" s="24">
        <v>8.43</v>
      </c>
      <c r="G55" s="24">
        <v>7.57</v>
      </c>
      <c r="H55" s="24">
        <v>12.9</v>
      </c>
      <c r="I55" s="24">
        <v>4.8</v>
      </c>
      <c r="J55" s="24">
        <f t="shared" si="0"/>
        <v>55.400000000000006</v>
      </c>
      <c r="K55" s="24">
        <v>14.4</v>
      </c>
      <c r="L55" s="25">
        <f t="shared" si="1"/>
        <v>69.800000000000011</v>
      </c>
    </row>
    <row r="56" spans="1:12">
      <c r="A56" s="27">
        <v>44</v>
      </c>
      <c r="B56" s="45">
        <v>200940510</v>
      </c>
      <c r="C56" s="56" t="s">
        <v>74</v>
      </c>
      <c r="D56" s="24">
        <v>4.1500000000000004</v>
      </c>
      <c r="E56" s="24">
        <v>6.15</v>
      </c>
      <c r="F56" s="24">
        <v>4.54</v>
      </c>
      <c r="G56" s="24">
        <f>+H56</f>
        <v>5.0999999999999996</v>
      </c>
      <c r="H56" s="24">
        <v>5.0999999999999996</v>
      </c>
      <c r="I56" s="24">
        <v>3.6</v>
      </c>
      <c r="J56" s="24">
        <f t="shared" si="0"/>
        <v>28.64</v>
      </c>
      <c r="K56" s="24" t="s">
        <v>475</v>
      </c>
      <c r="L56" s="25">
        <f>+J56</f>
        <v>28.64</v>
      </c>
    </row>
    <row r="57" spans="1:12">
      <c r="A57" s="27">
        <v>45</v>
      </c>
      <c r="B57" s="45">
        <v>200940515</v>
      </c>
      <c r="C57" s="58" t="s">
        <v>75</v>
      </c>
      <c r="D57" s="24">
        <v>3.7</v>
      </c>
      <c r="E57" s="24">
        <v>6.45</v>
      </c>
      <c r="F57" s="24">
        <v>6.18</v>
      </c>
      <c r="G57" s="24">
        <v>0.67</v>
      </c>
      <c r="H57" s="24">
        <v>0</v>
      </c>
      <c r="I57" s="24">
        <v>3.1</v>
      </c>
      <c r="J57" s="24">
        <f t="shared" si="0"/>
        <v>20.099999999999998</v>
      </c>
      <c r="K57" s="24" t="s">
        <v>475</v>
      </c>
      <c r="L57" s="25">
        <f t="shared" ref="L57:L63" si="6">+J57</f>
        <v>20.099999999999998</v>
      </c>
    </row>
    <row r="58" spans="1:12">
      <c r="A58" s="27">
        <v>46</v>
      </c>
      <c r="B58" s="45">
        <v>200940517</v>
      </c>
      <c r="C58" s="56" t="s">
        <v>76</v>
      </c>
      <c r="D58" s="24">
        <v>9.17</v>
      </c>
      <c r="E58" s="24">
        <v>0</v>
      </c>
      <c r="F58" s="24">
        <v>6.73</v>
      </c>
      <c r="G58" s="24">
        <v>2.25</v>
      </c>
      <c r="H58" s="24">
        <v>0</v>
      </c>
      <c r="I58" s="24">
        <v>4.5</v>
      </c>
      <c r="J58" s="24">
        <f t="shared" si="0"/>
        <v>22.65</v>
      </c>
      <c r="K58" s="24" t="s">
        <v>475</v>
      </c>
      <c r="L58" s="25">
        <f t="shared" si="6"/>
        <v>22.65</v>
      </c>
    </row>
    <row r="59" spans="1:12">
      <c r="A59" s="27">
        <v>47</v>
      </c>
      <c r="B59" s="57">
        <v>200940518</v>
      </c>
      <c r="C59" s="60" t="s">
        <v>77</v>
      </c>
      <c r="D59" s="24">
        <v>4.67</v>
      </c>
      <c r="E59" s="24">
        <v>10.8</v>
      </c>
      <c r="F59" s="24">
        <v>3.8</v>
      </c>
      <c r="G59" s="24">
        <v>3.22</v>
      </c>
      <c r="H59" s="24">
        <v>7.8</v>
      </c>
      <c r="I59" s="24">
        <v>3.9</v>
      </c>
      <c r="J59" s="24">
        <f t="shared" si="0"/>
        <v>34.19</v>
      </c>
      <c r="K59" s="24" t="s">
        <v>475</v>
      </c>
      <c r="L59" s="25">
        <f t="shared" si="6"/>
        <v>34.19</v>
      </c>
    </row>
    <row r="60" spans="1:12">
      <c r="A60" s="27">
        <v>48</v>
      </c>
      <c r="B60" s="45">
        <v>200940525</v>
      </c>
      <c r="C60" s="56" t="s">
        <v>78</v>
      </c>
      <c r="D60" s="24">
        <v>5.5</v>
      </c>
      <c r="E60" s="24">
        <v>8.25</v>
      </c>
      <c r="F60" s="24">
        <v>4.4800000000000004</v>
      </c>
      <c r="G60" s="24">
        <v>2.5499999999999998</v>
      </c>
      <c r="H60" s="24">
        <v>0</v>
      </c>
      <c r="I60" s="24">
        <v>4</v>
      </c>
      <c r="J60" s="24">
        <f t="shared" si="0"/>
        <v>24.78</v>
      </c>
      <c r="K60" s="24" t="s">
        <v>475</v>
      </c>
      <c r="L60" s="25">
        <f t="shared" si="6"/>
        <v>24.78</v>
      </c>
    </row>
    <row r="61" spans="1:12">
      <c r="A61" s="27">
        <v>49</v>
      </c>
      <c r="B61" s="45">
        <v>200940530</v>
      </c>
      <c r="C61" s="56" t="s">
        <v>79</v>
      </c>
      <c r="D61" s="24">
        <v>4.1500000000000004</v>
      </c>
      <c r="E61" s="24">
        <v>5.77</v>
      </c>
      <c r="F61" s="24">
        <v>3.88</v>
      </c>
      <c r="G61" s="24">
        <v>1.2</v>
      </c>
      <c r="H61" s="24">
        <v>0</v>
      </c>
      <c r="I61" s="24">
        <v>4</v>
      </c>
      <c r="J61" s="24">
        <f t="shared" si="0"/>
        <v>19</v>
      </c>
      <c r="K61" s="24" t="s">
        <v>475</v>
      </c>
      <c r="L61" s="25">
        <f t="shared" si="6"/>
        <v>19</v>
      </c>
    </row>
    <row r="62" spans="1:12">
      <c r="A62" s="27">
        <v>50</v>
      </c>
      <c r="B62" s="45">
        <v>200940531</v>
      </c>
      <c r="C62" s="60" t="s">
        <v>80</v>
      </c>
      <c r="D62" s="24">
        <v>2.0499999999999998</v>
      </c>
      <c r="E62" s="24">
        <v>2.1</v>
      </c>
      <c r="F62" s="24">
        <v>4.4000000000000004</v>
      </c>
      <c r="G62" s="24">
        <v>0</v>
      </c>
      <c r="H62" s="24">
        <v>0</v>
      </c>
      <c r="I62" s="24">
        <v>3.25</v>
      </c>
      <c r="J62" s="24">
        <f t="shared" si="0"/>
        <v>11.8</v>
      </c>
      <c r="K62" s="24" t="s">
        <v>475</v>
      </c>
      <c r="L62" s="25">
        <f t="shared" si="6"/>
        <v>11.8</v>
      </c>
    </row>
    <row r="63" spans="1:12">
      <c r="A63" s="27">
        <v>51</v>
      </c>
      <c r="B63" s="45">
        <v>200940532</v>
      </c>
      <c r="C63" s="56" t="s">
        <v>81</v>
      </c>
      <c r="D63" s="24">
        <v>5.8</v>
      </c>
      <c r="E63" s="24">
        <v>9</v>
      </c>
      <c r="F63" s="24">
        <v>5.75</v>
      </c>
      <c r="G63" s="24">
        <f>+H63</f>
        <v>6</v>
      </c>
      <c r="H63" s="24">
        <v>6</v>
      </c>
      <c r="I63" s="24">
        <v>3.35</v>
      </c>
      <c r="J63" s="24">
        <f t="shared" si="0"/>
        <v>35.9</v>
      </c>
      <c r="K63" s="24" t="s">
        <v>475</v>
      </c>
      <c r="L63" s="25">
        <f t="shared" si="6"/>
        <v>35.9</v>
      </c>
    </row>
    <row r="64" spans="1:12">
      <c r="A64" s="27">
        <v>52</v>
      </c>
      <c r="B64" s="57">
        <v>200940564</v>
      </c>
      <c r="C64" s="58" t="s">
        <v>82</v>
      </c>
      <c r="D64" s="24">
        <v>9.1</v>
      </c>
      <c r="E64" s="24">
        <v>9.75</v>
      </c>
      <c r="F64" s="24">
        <v>7.45</v>
      </c>
      <c r="G64" s="24">
        <v>10.050000000000001</v>
      </c>
      <c r="H64" s="24">
        <v>11.85</v>
      </c>
      <c r="I64" s="24">
        <v>4.5</v>
      </c>
      <c r="J64" s="24">
        <f t="shared" si="0"/>
        <v>52.7</v>
      </c>
      <c r="K64" s="24">
        <v>10.8</v>
      </c>
      <c r="L64" s="25">
        <f t="shared" si="1"/>
        <v>63.5</v>
      </c>
    </row>
    <row r="65" spans="1:12">
      <c r="A65" s="27">
        <v>53</v>
      </c>
      <c r="B65" s="45">
        <v>200940775</v>
      </c>
      <c r="C65" s="56" t="s">
        <v>83</v>
      </c>
      <c r="D65" s="24">
        <v>3.62</v>
      </c>
      <c r="E65" s="24">
        <v>3.6</v>
      </c>
      <c r="F65" s="24">
        <v>5.59</v>
      </c>
      <c r="G65" s="24">
        <v>0</v>
      </c>
      <c r="H65" s="24">
        <v>0</v>
      </c>
      <c r="I65" s="24">
        <v>2.9</v>
      </c>
      <c r="J65" s="24">
        <f t="shared" si="0"/>
        <v>15.71</v>
      </c>
      <c r="K65" s="24" t="s">
        <v>475</v>
      </c>
      <c r="L65" s="25">
        <f>+J65</f>
        <v>15.71</v>
      </c>
    </row>
    <row r="66" spans="1:12">
      <c r="A66" s="27">
        <v>54</v>
      </c>
      <c r="B66" s="45">
        <v>200940802</v>
      </c>
      <c r="C66" s="56" t="s">
        <v>84</v>
      </c>
      <c r="D66" s="24">
        <v>3.85</v>
      </c>
      <c r="E66" s="24">
        <v>5.4</v>
      </c>
      <c r="F66" s="24">
        <v>5.25</v>
      </c>
      <c r="G66" s="24">
        <v>3.45</v>
      </c>
      <c r="H66" s="24">
        <v>0</v>
      </c>
      <c r="I66" s="24">
        <v>4.5</v>
      </c>
      <c r="J66" s="24">
        <f t="shared" si="0"/>
        <v>22.450000000000003</v>
      </c>
      <c r="K66" s="24" t="s">
        <v>475</v>
      </c>
      <c r="L66" s="25">
        <f t="shared" ref="L66:L70" si="7">+J66</f>
        <v>22.450000000000003</v>
      </c>
    </row>
    <row r="67" spans="1:12">
      <c r="A67" s="27">
        <v>55</v>
      </c>
      <c r="B67" s="45">
        <v>200942768</v>
      </c>
      <c r="C67" s="56" t="s">
        <v>85</v>
      </c>
      <c r="D67" s="24">
        <v>3.55</v>
      </c>
      <c r="E67" s="24">
        <v>7.05</v>
      </c>
      <c r="F67" s="24">
        <v>3.8</v>
      </c>
      <c r="G67" s="24">
        <v>0.22</v>
      </c>
      <c r="H67" s="24">
        <v>0</v>
      </c>
      <c r="I67" s="24">
        <v>3</v>
      </c>
      <c r="J67" s="24">
        <f t="shared" si="0"/>
        <v>17.62</v>
      </c>
      <c r="K67" s="24" t="s">
        <v>475</v>
      </c>
      <c r="L67" s="25">
        <f t="shared" si="7"/>
        <v>17.62</v>
      </c>
    </row>
    <row r="68" spans="1:12">
      <c r="A68" s="27">
        <v>56</v>
      </c>
      <c r="B68" s="45">
        <v>200943635</v>
      </c>
      <c r="C68" s="56" t="s">
        <v>86</v>
      </c>
      <c r="D68" s="24">
        <v>4.3</v>
      </c>
      <c r="E68" s="24">
        <v>6</v>
      </c>
      <c r="F68" s="24">
        <v>3.6</v>
      </c>
      <c r="G68" s="24">
        <v>2.4</v>
      </c>
      <c r="H68" s="24">
        <v>0</v>
      </c>
      <c r="I68" s="24">
        <v>4.5</v>
      </c>
      <c r="J68" s="24">
        <f t="shared" si="0"/>
        <v>20.8</v>
      </c>
      <c r="K68" s="24" t="s">
        <v>475</v>
      </c>
      <c r="L68" s="25">
        <f t="shared" si="7"/>
        <v>20.8</v>
      </c>
    </row>
    <row r="69" spans="1:12">
      <c r="A69" s="27">
        <v>57</v>
      </c>
      <c r="B69" s="45">
        <v>200944076</v>
      </c>
      <c r="C69" s="56" t="s">
        <v>87</v>
      </c>
      <c r="D69" s="24">
        <v>5.27</v>
      </c>
      <c r="E69" s="24">
        <v>10.199999999999999</v>
      </c>
      <c r="F69" s="24">
        <v>8.65</v>
      </c>
      <c r="G69" s="24">
        <v>4.75</v>
      </c>
      <c r="H69" s="24">
        <v>0</v>
      </c>
      <c r="I69" s="24">
        <v>3.05</v>
      </c>
      <c r="J69" s="24">
        <f t="shared" si="0"/>
        <v>31.919999999999998</v>
      </c>
      <c r="K69" s="24" t="s">
        <v>475</v>
      </c>
      <c r="L69" s="25">
        <f t="shared" si="7"/>
        <v>31.919999999999998</v>
      </c>
    </row>
    <row r="70" spans="1:12">
      <c r="A70" s="27">
        <v>58</v>
      </c>
      <c r="B70" s="45">
        <v>200944407</v>
      </c>
      <c r="C70" s="56" t="s">
        <v>88</v>
      </c>
      <c r="D70" s="24">
        <v>4.45</v>
      </c>
      <c r="E70" s="24">
        <v>7.05</v>
      </c>
      <c r="F70" s="24">
        <v>6.34</v>
      </c>
      <c r="G70" s="24">
        <v>0</v>
      </c>
      <c r="H70" s="24">
        <v>0</v>
      </c>
      <c r="I70" s="24">
        <v>3.05</v>
      </c>
      <c r="J70" s="24">
        <f t="shared" si="0"/>
        <v>20.89</v>
      </c>
      <c r="K70" s="24" t="s">
        <v>475</v>
      </c>
      <c r="L70" s="25">
        <f t="shared" si="7"/>
        <v>20.89</v>
      </c>
    </row>
    <row r="71" spans="1:12">
      <c r="A71" s="27">
        <v>59</v>
      </c>
      <c r="B71" s="45">
        <v>200945275</v>
      </c>
      <c r="C71" s="56" t="s">
        <v>89</v>
      </c>
      <c r="D71" s="24">
        <v>5.8</v>
      </c>
      <c r="E71" s="24">
        <v>9.75</v>
      </c>
      <c r="F71" s="24">
        <v>8.8800000000000008</v>
      </c>
      <c r="G71" s="24">
        <v>6.67</v>
      </c>
      <c r="H71" s="24">
        <v>12.6</v>
      </c>
      <c r="I71" s="24">
        <v>5</v>
      </c>
      <c r="J71" s="24">
        <f t="shared" si="0"/>
        <v>48.7</v>
      </c>
      <c r="K71" s="24">
        <v>9.9</v>
      </c>
      <c r="L71" s="25">
        <f t="shared" si="1"/>
        <v>58.6</v>
      </c>
    </row>
    <row r="72" spans="1:12">
      <c r="A72" s="27">
        <v>60</v>
      </c>
      <c r="B72" s="45">
        <v>200945795</v>
      </c>
      <c r="C72" s="56" t="s">
        <v>90</v>
      </c>
      <c r="D72" s="24">
        <v>2.65</v>
      </c>
      <c r="E72" s="24">
        <v>3.6</v>
      </c>
      <c r="F72" s="24">
        <v>2.73</v>
      </c>
      <c r="G72" s="24">
        <v>0</v>
      </c>
      <c r="H72" s="24">
        <v>0</v>
      </c>
      <c r="I72" s="24">
        <v>3</v>
      </c>
      <c r="J72" s="24">
        <f t="shared" si="0"/>
        <v>11.98</v>
      </c>
      <c r="K72" s="24" t="s">
        <v>475</v>
      </c>
      <c r="L72" s="25">
        <f>+J72</f>
        <v>11.98</v>
      </c>
    </row>
    <row r="73" spans="1:12">
      <c r="A73" s="29"/>
      <c r="B73" s="29"/>
      <c r="C73" s="30"/>
      <c r="D73" s="31"/>
      <c r="E73" s="31"/>
      <c r="F73" s="31"/>
      <c r="G73" s="31"/>
      <c r="H73" s="31"/>
      <c r="I73" s="31"/>
      <c r="J73" s="31"/>
      <c r="K73" s="31"/>
      <c r="L73" s="32"/>
    </row>
    <row r="74" spans="1:12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2"/>
    </row>
    <row r="75" spans="1:12" ht="17.25" thickBot="1">
      <c r="A75" s="33"/>
      <c r="B75" s="33"/>
      <c r="C75" s="34"/>
      <c r="D75" s="31"/>
      <c r="E75" s="31"/>
      <c r="F75" s="31"/>
      <c r="G75" s="31"/>
      <c r="H75" s="35"/>
      <c r="I75" s="35"/>
      <c r="J75" s="35"/>
      <c r="K75" s="9"/>
      <c r="L75" s="32"/>
    </row>
    <row r="76" spans="1:12">
      <c r="H76" s="100" t="s">
        <v>447</v>
      </c>
      <c r="I76" s="100"/>
      <c r="J76" s="100"/>
      <c r="L76" s="1"/>
    </row>
    <row r="77" spans="1:12">
      <c r="D77" s="36"/>
      <c r="H77" s="100" t="s">
        <v>430</v>
      </c>
      <c r="I77" s="100"/>
      <c r="J77" s="100"/>
      <c r="L77" s="1"/>
    </row>
    <row r="78" spans="1:12">
      <c r="D78" s="36"/>
      <c r="H78" s="100" t="s">
        <v>448</v>
      </c>
      <c r="I78" s="100"/>
      <c r="J78" s="100"/>
      <c r="L78" s="1"/>
    </row>
    <row r="86" spans="1:12" ht="17.25" thickBot="1">
      <c r="A86" s="1" t="s">
        <v>0</v>
      </c>
      <c r="I86" s="3"/>
    </row>
    <row r="87" spans="1:12">
      <c r="A87" s="1" t="s">
        <v>1</v>
      </c>
      <c r="F87" s="4"/>
      <c r="G87" s="5"/>
      <c r="H87" s="6"/>
      <c r="I87" s="7"/>
    </row>
    <row r="88" spans="1:12">
      <c r="A88" s="8" t="s">
        <v>2</v>
      </c>
      <c r="B88" s="9"/>
      <c r="E88" s="7"/>
      <c r="F88" s="10"/>
      <c r="G88" s="11"/>
      <c r="H88" s="12"/>
      <c r="I88" s="7"/>
    </row>
    <row r="89" spans="1:12" ht="17.25" thickBot="1">
      <c r="A89" s="13" t="s">
        <v>3</v>
      </c>
      <c r="B89" s="9"/>
      <c r="E89" s="7"/>
      <c r="F89" s="10"/>
      <c r="G89" s="11"/>
      <c r="H89" s="12"/>
      <c r="I89" s="7"/>
    </row>
    <row r="90" spans="1:12" ht="17.25" thickBot="1">
      <c r="A90" s="14" t="s">
        <v>22</v>
      </c>
      <c r="B90" s="15"/>
      <c r="C90" s="16"/>
      <c r="E90" s="7"/>
      <c r="F90" s="17"/>
      <c r="G90" s="18"/>
      <c r="H90" s="19"/>
      <c r="I90" s="7"/>
    </row>
    <row r="91" spans="1:12">
      <c r="A91" s="8"/>
      <c r="B91" s="9"/>
      <c r="E91" s="7"/>
      <c r="I91" s="3"/>
    </row>
    <row r="92" spans="1:12">
      <c r="A92" s="1" t="s">
        <v>91</v>
      </c>
      <c r="B92" s="9"/>
      <c r="C92" s="20" t="s">
        <v>99</v>
      </c>
      <c r="E92" s="7"/>
      <c r="I92" s="3"/>
    </row>
    <row r="93" spans="1:12">
      <c r="A93" s="1" t="s">
        <v>4</v>
      </c>
      <c r="C93" s="20" t="s">
        <v>445</v>
      </c>
      <c r="I93" s="3"/>
    </row>
    <row r="94" spans="1:12">
      <c r="A94" s="1" t="s">
        <v>5</v>
      </c>
      <c r="C94" s="20" t="s">
        <v>446</v>
      </c>
    </row>
    <row r="95" spans="1:12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2">
      <c r="A96" s="1"/>
      <c r="C96" s="22" t="s">
        <v>6</v>
      </c>
      <c r="D96" s="22" t="s">
        <v>93</v>
      </c>
      <c r="E96" s="22" t="s">
        <v>93</v>
      </c>
      <c r="F96" s="22" t="s">
        <v>93</v>
      </c>
      <c r="G96" s="22" t="s">
        <v>93</v>
      </c>
      <c r="H96" s="22" t="s">
        <v>93</v>
      </c>
      <c r="I96" s="22" t="s">
        <v>94</v>
      </c>
      <c r="J96" s="22" t="s">
        <v>8</v>
      </c>
      <c r="K96" s="22" t="s">
        <v>7</v>
      </c>
      <c r="L96" s="22" t="s">
        <v>9</v>
      </c>
    </row>
    <row r="97" spans="1:12">
      <c r="A97" s="22" t="s">
        <v>10</v>
      </c>
      <c r="B97" s="22" t="s">
        <v>11</v>
      </c>
      <c r="C97" s="22" t="s">
        <v>12</v>
      </c>
      <c r="D97" s="22" t="s">
        <v>13</v>
      </c>
      <c r="E97" s="22" t="s">
        <v>14</v>
      </c>
      <c r="F97" s="22" t="s">
        <v>15</v>
      </c>
      <c r="G97" s="22" t="s">
        <v>16</v>
      </c>
      <c r="H97" s="22" t="s">
        <v>17</v>
      </c>
      <c r="I97" s="22" t="s">
        <v>95</v>
      </c>
      <c r="J97" s="22" t="s">
        <v>18</v>
      </c>
      <c r="K97" s="22" t="s">
        <v>19</v>
      </c>
      <c r="L97" s="22" t="s">
        <v>20</v>
      </c>
    </row>
    <row r="98" spans="1:12">
      <c r="A98" s="23">
        <v>1</v>
      </c>
      <c r="B98" s="45">
        <v>200741800</v>
      </c>
      <c r="C98" s="56" t="s">
        <v>102</v>
      </c>
      <c r="D98" s="24">
        <v>9.6</v>
      </c>
      <c r="E98" s="24">
        <v>11.17</v>
      </c>
      <c r="F98" s="24">
        <v>8.4</v>
      </c>
      <c r="G98" s="24">
        <v>8.85</v>
      </c>
      <c r="H98" s="24">
        <v>11.7</v>
      </c>
      <c r="I98" s="24">
        <v>4.5</v>
      </c>
      <c r="J98" s="24">
        <f>+I98+H98+G98+F98+E98+D98</f>
        <v>54.22</v>
      </c>
      <c r="K98" s="24">
        <v>9.1999999999999993</v>
      </c>
      <c r="L98" s="25">
        <f>+K98+J98</f>
        <v>63.42</v>
      </c>
    </row>
    <row r="99" spans="1:12">
      <c r="A99" s="26">
        <v>2</v>
      </c>
      <c r="B99" s="57">
        <v>200741813</v>
      </c>
      <c r="C99" s="56" t="s">
        <v>103</v>
      </c>
      <c r="D99" s="24">
        <v>7.15</v>
      </c>
      <c r="E99" s="24">
        <v>11.7</v>
      </c>
      <c r="F99" s="24">
        <v>8.5500000000000007</v>
      </c>
      <c r="G99" s="24">
        <v>5.47</v>
      </c>
      <c r="H99" s="24">
        <v>8.4</v>
      </c>
      <c r="I99" s="24">
        <v>3</v>
      </c>
      <c r="J99" s="24">
        <f t="shared" ref="J99:J164" si="8">+I99+H99+G99+F99+E99+D99</f>
        <v>44.27</v>
      </c>
      <c r="K99" s="24" t="s">
        <v>476</v>
      </c>
      <c r="L99" s="25">
        <v>44.27</v>
      </c>
    </row>
    <row r="100" spans="1:12">
      <c r="A100" s="27">
        <v>3</v>
      </c>
      <c r="B100" s="45">
        <v>200741817</v>
      </c>
      <c r="C100" s="56" t="s">
        <v>104</v>
      </c>
      <c r="D100" s="24">
        <v>4.05</v>
      </c>
      <c r="E100" s="24">
        <v>11.7</v>
      </c>
      <c r="F100" s="24">
        <v>6.65</v>
      </c>
      <c r="G100" s="24">
        <v>3.9</v>
      </c>
      <c r="H100" s="24">
        <v>9</v>
      </c>
      <c r="I100" s="24">
        <v>4.9000000000000004</v>
      </c>
      <c r="J100" s="24">
        <f t="shared" si="8"/>
        <v>40.200000000000003</v>
      </c>
      <c r="K100" s="24" t="s">
        <v>475</v>
      </c>
      <c r="L100" s="25">
        <f>+J100</f>
        <v>40.200000000000003</v>
      </c>
    </row>
    <row r="101" spans="1:12">
      <c r="A101" s="26">
        <v>4</v>
      </c>
      <c r="B101" s="45">
        <v>200742769</v>
      </c>
      <c r="C101" s="56" t="s">
        <v>105</v>
      </c>
      <c r="D101" s="24">
        <v>6.7</v>
      </c>
      <c r="E101" s="24">
        <v>11.4</v>
      </c>
      <c r="F101" s="24">
        <v>3.2</v>
      </c>
      <c r="G101" s="24">
        <v>0</v>
      </c>
      <c r="H101" s="24">
        <v>0</v>
      </c>
      <c r="I101" s="24">
        <v>2.75</v>
      </c>
      <c r="J101" s="24">
        <f t="shared" si="8"/>
        <v>24.05</v>
      </c>
      <c r="K101" s="24" t="s">
        <v>475</v>
      </c>
      <c r="L101" s="25">
        <f t="shared" ref="L101:L102" si="9">+J101</f>
        <v>24.05</v>
      </c>
    </row>
    <row r="102" spans="1:12">
      <c r="A102" s="26">
        <v>5</v>
      </c>
      <c r="B102" s="57">
        <v>200742775</v>
      </c>
      <c r="C102" s="60" t="s">
        <v>106</v>
      </c>
      <c r="D102" s="24">
        <v>7.3</v>
      </c>
      <c r="E102" s="24">
        <v>9.3000000000000007</v>
      </c>
      <c r="F102" s="24">
        <v>3.2</v>
      </c>
      <c r="G102" s="24">
        <v>1.57</v>
      </c>
      <c r="H102" s="24">
        <v>0</v>
      </c>
      <c r="I102" s="24">
        <v>5</v>
      </c>
      <c r="J102" s="24">
        <f t="shared" si="8"/>
        <v>26.37</v>
      </c>
      <c r="K102" s="24" t="s">
        <v>475</v>
      </c>
      <c r="L102" s="25">
        <f t="shared" si="9"/>
        <v>26.37</v>
      </c>
    </row>
    <row r="103" spans="1:12">
      <c r="A103" s="26">
        <v>6</v>
      </c>
      <c r="B103" s="45">
        <v>200742776</v>
      </c>
      <c r="C103" s="56" t="s">
        <v>107</v>
      </c>
      <c r="D103" s="24">
        <v>7.6</v>
      </c>
      <c r="E103" s="24">
        <v>10.5</v>
      </c>
      <c r="F103" s="24">
        <v>10.45</v>
      </c>
      <c r="G103" s="24">
        <v>10.87</v>
      </c>
      <c r="H103" s="24">
        <v>10.199999999999999</v>
      </c>
      <c r="I103" s="24">
        <v>4.5</v>
      </c>
      <c r="J103" s="24">
        <f t="shared" si="8"/>
        <v>54.12</v>
      </c>
      <c r="K103" s="24">
        <v>6</v>
      </c>
      <c r="L103" s="25">
        <f t="shared" ref="L103:L145" si="10">+K103+J103</f>
        <v>60.12</v>
      </c>
    </row>
    <row r="104" spans="1:12">
      <c r="A104" s="26">
        <v>7</v>
      </c>
      <c r="B104" s="45">
        <v>200840061</v>
      </c>
      <c r="C104" s="56" t="s">
        <v>108</v>
      </c>
      <c r="D104" s="24">
        <v>3.15</v>
      </c>
      <c r="E104" s="24">
        <v>4.2</v>
      </c>
      <c r="F104" s="24">
        <v>1.95</v>
      </c>
      <c r="G104" s="24">
        <v>0</v>
      </c>
      <c r="H104" s="24">
        <v>0</v>
      </c>
      <c r="I104" s="24">
        <v>0</v>
      </c>
      <c r="J104" s="24">
        <f t="shared" si="8"/>
        <v>9.3000000000000007</v>
      </c>
      <c r="K104" s="24" t="s">
        <v>475</v>
      </c>
      <c r="L104" s="25">
        <f>+J104</f>
        <v>9.3000000000000007</v>
      </c>
    </row>
    <row r="105" spans="1:12">
      <c r="A105" s="26">
        <v>8</v>
      </c>
      <c r="B105" s="45">
        <v>200840066</v>
      </c>
      <c r="C105" s="56" t="s">
        <v>109</v>
      </c>
      <c r="D105" s="24">
        <v>10.6</v>
      </c>
      <c r="E105" s="24">
        <v>12.6</v>
      </c>
      <c r="F105" s="24">
        <v>11.42</v>
      </c>
      <c r="G105" s="24">
        <v>12.6</v>
      </c>
      <c r="H105" s="24">
        <v>12.6</v>
      </c>
      <c r="I105" s="24">
        <v>4.5999999999999996</v>
      </c>
      <c r="J105" s="24">
        <f t="shared" si="8"/>
        <v>64.42</v>
      </c>
      <c r="K105" s="24">
        <v>17.95</v>
      </c>
      <c r="L105" s="25">
        <f t="shared" si="10"/>
        <v>82.37</v>
      </c>
    </row>
    <row r="106" spans="1:12">
      <c r="A106" s="26">
        <v>9</v>
      </c>
      <c r="B106" s="45">
        <v>200840078</v>
      </c>
      <c r="C106" s="56" t="s">
        <v>110</v>
      </c>
      <c r="D106" s="24">
        <v>4</v>
      </c>
      <c r="E106" s="24">
        <v>3.9</v>
      </c>
      <c r="F106" s="24">
        <v>0</v>
      </c>
      <c r="G106" s="24">
        <v>0</v>
      </c>
      <c r="H106" s="24">
        <v>0</v>
      </c>
      <c r="I106" s="24">
        <v>0</v>
      </c>
      <c r="J106" s="24">
        <f t="shared" si="8"/>
        <v>7.9</v>
      </c>
      <c r="K106" s="24" t="s">
        <v>475</v>
      </c>
      <c r="L106" s="25">
        <f>+J106</f>
        <v>7.9</v>
      </c>
    </row>
    <row r="107" spans="1:12">
      <c r="A107" s="26">
        <v>10</v>
      </c>
      <c r="B107" s="45">
        <v>200840159</v>
      </c>
      <c r="C107" s="56" t="s">
        <v>111</v>
      </c>
      <c r="D107" s="24">
        <v>8.8000000000000007</v>
      </c>
      <c r="E107" s="24">
        <v>12.6</v>
      </c>
      <c r="F107" s="24">
        <v>12.62</v>
      </c>
      <c r="G107" s="24">
        <v>12.75</v>
      </c>
      <c r="H107" s="24">
        <v>12.6</v>
      </c>
      <c r="I107" s="24">
        <v>4.5999999999999996</v>
      </c>
      <c r="J107" s="24">
        <f t="shared" si="8"/>
        <v>63.97</v>
      </c>
      <c r="K107" s="24">
        <v>15.83</v>
      </c>
      <c r="L107" s="25">
        <f t="shared" si="10"/>
        <v>79.8</v>
      </c>
    </row>
    <row r="108" spans="1:12">
      <c r="A108" s="26">
        <v>11</v>
      </c>
      <c r="B108" s="45">
        <v>200840184</v>
      </c>
      <c r="C108" s="56" t="s">
        <v>112</v>
      </c>
      <c r="D108" s="24">
        <v>9.25</v>
      </c>
      <c r="E108" s="24">
        <v>12</v>
      </c>
      <c r="F108" s="24">
        <v>4.0999999999999996</v>
      </c>
      <c r="G108" s="24">
        <v>6.52</v>
      </c>
      <c r="H108" s="28">
        <v>9.9</v>
      </c>
      <c r="I108" s="28">
        <v>5</v>
      </c>
      <c r="J108" s="24">
        <f t="shared" si="8"/>
        <v>46.77</v>
      </c>
      <c r="K108" s="24">
        <v>6.6</v>
      </c>
      <c r="L108" s="25">
        <f t="shared" si="10"/>
        <v>53.370000000000005</v>
      </c>
    </row>
    <row r="109" spans="1:12">
      <c r="A109" s="26">
        <v>12</v>
      </c>
      <c r="B109" s="45">
        <v>200840195</v>
      </c>
      <c r="C109" s="56" t="s">
        <v>113</v>
      </c>
      <c r="D109" s="24">
        <v>2.7</v>
      </c>
      <c r="E109" s="24">
        <v>5.0999999999999996</v>
      </c>
      <c r="F109" s="24">
        <v>0.53</v>
      </c>
      <c r="G109" s="24">
        <v>0.15</v>
      </c>
      <c r="H109" s="28">
        <v>0</v>
      </c>
      <c r="I109" s="28">
        <v>1.1499999999999999</v>
      </c>
      <c r="J109" s="24">
        <f t="shared" si="8"/>
        <v>9.629999999999999</v>
      </c>
      <c r="K109" s="24" t="s">
        <v>475</v>
      </c>
      <c r="L109" s="25">
        <f>+J109</f>
        <v>9.629999999999999</v>
      </c>
    </row>
    <row r="110" spans="1:12">
      <c r="A110" s="26">
        <v>13</v>
      </c>
      <c r="B110" s="45">
        <v>200840196</v>
      </c>
      <c r="C110" s="56" t="s">
        <v>114</v>
      </c>
      <c r="D110" s="24">
        <v>13.15</v>
      </c>
      <c r="E110" s="24">
        <v>10.8</v>
      </c>
      <c r="F110" s="24">
        <v>13.45</v>
      </c>
      <c r="G110" s="24">
        <v>12.52</v>
      </c>
      <c r="H110" s="28">
        <v>12.9</v>
      </c>
      <c r="I110" s="28">
        <v>4.5</v>
      </c>
      <c r="J110" s="24">
        <f t="shared" si="8"/>
        <v>67.320000000000007</v>
      </c>
      <c r="K110" s="24">
        <v>18.670000000000002</v>
      </c>
      <c r="L110" s="25">
        <f t="shared" si="10"/>
        <v>85.990000000000009</v>
      </c>
    </row>
    <row r="111" spans="1:12">
      <c r="A111" s="23">
        <v>14</v>
      </c>
      <c r="B111" s="45">
        <v>200840208</v>
      </c>
      <c r="C111" s="56" t="s">
        <v>115</v>
      </c>
      <c r="D111" s="24">
        <v>7.35</v>
      </c>
      <c r="E111" s="24">
        <v>7.95</v>
      </c>
      <c r="F111" s="24">
        <v>6.35</v>
      </c>
      <c r="G111" s="24">
        <v>3.3</v>
      </c>
      <c r="H111" s="28">
        <v>6.9</v>
      </c>
      <c r="I111" s="28">
        <v>4.9000000000000004</v>
      </c>
      <c r="J111" s="24">
        <f t="shared" si="8"/>
        <v>36.75</v>
      </c>
      <c r="K111" s="24" t="s">
        <v>475</v>
      </c>
      <c r="L111" s="25">
        <f>+J111</f>
        <v>36.75</v>
      </c>
    </row>
    <row r="112" spans="1:12">
      <c r="A112" s="23">
        <v>15</v>
      </c>
      <c r="B112" s="45">
        <v>200840212</v>
      </c>
      <c r="C112" s="56" t="s">
        <v>116</v>
      </c>
      <c r="D112" s="24">
        <v>5.35</v>
      </c>
      <c r="E112" s="24">
        <v>6</v>
      </c>
      <c r="F112" s="24">
        <v>2.4900000000000002</v>
      </c>
      <c r="G112" s="24">
        <v>0</v>
      </c>
      <c r="H112" s="24">
        <v>0</v>
      </c>
      <c r="I112" s="24">
        <v>2.75</v>
      </c>
      <c r="J112" s="24">
        <f t="shared" si="8"/>
        <v>16.59</v>
      </c>
      <c r="K112" s="24" t="s">
        <v>475</v>
      </c>
      <c r="L112" s="25">
        <f>+J112</f>
        <v>16.59</v>
      </c>
    </row>
    <row r="113" spans="1:12">
      <c r="A113" s="23">
        <v>16</v>
      </c>
      <c r="B113" s="45">
        <v>200840224</v>
      </c>
      <c r="C113" s="56" t="s">
        <v>117</v>
      </c>
      <c r="D113" s="24">
        <v>9.1</v>
      </c>
      <c r="E113" s="24">
        <v>10.57</v>
      </c>
      <c r="F113" s="24">
        <v>6.25</v>
      </c>
      <c r="G113" s="24">
        <v>2.4</v>
      </c>
      <c r="H113" s="24">
        <v>12.6</v>
      </c>
      <c r="I113" s="24">
        <v>4.5</v>
      </c>
      <c r="J113" s="24">
        <f t="shared" si="8"/>
        <v>45.42</v>
      </c>
      <c r="K113" s="24">
        <v>3.4</v>
      </c>
      <c r="L113" s="25">
        <f t="shared" si="10"/>
        <v>48.82</v>
      </c>
    </row>
    <row r="114" spans="1:12">
      <c r="A114" s="23">
        <v>17</v>
      </c>
      <c r="B114" s="45">
        <v>200840227</v>
      </c>
      <c r="C114" s="56" t="s">
        <v>118</v>
      </c>
      <c r="D114" s="24">
        <v>4.75</v>
      </c>
      <c r="E114" s="24">
        <v>8.6199999999999992</v>
      </c>
      <c r="F114" s="24">
        <v>6.68</v>
      </c>
      <c r="G114" s="24">
        <v>3.15</v>
      </c>
      <c r="H114" s="24">
        <v>6.3</v>
      </c>
      <c r="I114" s="24">
        <v>3.4</v>
      </c>
      <c r="J114" s="24">
        <f t="shared" si="8"/>
        <v>32.9</v>
      </c>
      <c r="K114" s="24" t="s">
        <v>475</v>
      </c>
      <c r="L114" s="25">
        <f>+J114</f>
        <v>32.9</v>
      </c>
    </row>
    <row r="115" spans="1:12">
      <c r="A115" s="27">
        <v>18</v>
      </c>
      <c r="B115" s="45">
        <v>200842035</v>
      </c>
      <c r="C115" s="56" t="s">
        <v>119</v>
      </c>
      <c r="D115" s="24">
        <v>6.55</v>
      </c>
      <c r="E115" s="24">
        <v>10.65</v>
      </c>
      <c r="F115" s="24">
        <v>5.15</v>
      </c>
      <c r="G115" s="24">
        <v>6.52</v>
      </c>
      <c r="H115" s="24">
        <v>12.9</v>
      </c>
      <c r="I115" s="24">
        <v>5</v>
      </c>
      <c r="J115" s="24">
        <f t="shared" si="8"/>
        <v>46.769999999999996</v>
      </c>
      <c r="K115" s="24">
        <v>5</v>
      </c>
      <c r="L115" s="25">
        <f t="shared" si="10"/>
        <v>51.769999999999996</v>
      </c>
    </row>
    <row r="116" spans="1:12">
      <c r="A116" s="27">
        <v>19</v>
      </c>
      <c r="B116" s="45">
        <v>200842055</v>
      </c>
      <c r="C116" s="59" t="s">
        <v>120</v>
      </c>
      <c r="D116" s="24">
        <v>10.15</v>
      </c>
      <c r="E116" s="24">
        <v>12.9</v>
      </c>
      <c r="F116" s="24">
        <v>11.15</v>
      </c>
      <c r="G116" s="24">
        <v>11.92</v>
      </c>
      <c r="H116" s="24">
        <v>13.5</v>
      </c>
      <c r="I116" s="24">
        <v>5</v>
      </c>
      <c r="J116" s="24">
        <f t="shared" si="8"/>
        <v>64.62</v>
      </c>
      <c r="K116" s="24">
        <v>15.89</v>
      </c>
      <c r="L116" s="25">
        <f t="shared" si="10"/>
        <v>80.510000000000005</v>
      </c>
    </row>
    <row r="117" spans="1:12">
      <c r="A117" s="27">
        <v>20</v>
      </c>
      <c r="B117" s="57">
        <v>200842082</v>
      </c>
      <c r="C117" s="60" t="s">
        <v>121</v>
      </c>
      <c r="D117" s="24">
        <v>6.7</v>
      </c>
      <c r="E117" s="24">
        <v>8.77</v>
      </c>
      <c r="F117" s="24">
        <v>9.1</v>
      </c>
      <c r="G117" s="24">
        <v>10.5</v>
      </c>
      <c r="H117" s="24">
        <v>11.1</v>
      </c>
      <c r="I117" s="24">
        <v>4.5</v>
      </c>
      <c r="J117" s="24">
        <f t="shared" si="8"/>
        <v>50.67</v>
      </c>
      <c r="K117" s="24">
        <v>4.5999999999999996</v>
      </c>
      <c r="L117" s="25">
        <f t="shared" si="10"/>
        <v>55.27</v>
      </c>
    </row>
    <row r="118" spans="1:12">
      <c r="A118" s="27">
        <v>21</v>
      </c>
      <c r="B118" s="45">
        <v>200842083</v>
      </c>
      <c r="C118" s="56" t="s">
        <v>122</v>
      </c>
      <c r="D118" s="24">
        <v>7.3</v>
      </c>
      <c r="E118" s="24">
        <v>9.3699999999999992</v>
      </c>
      <c r="F118" s="24">
        <v>8.1999999999999993</v>
      </c>
      <c r="G118" s="24">
        <v>6.9</v>
      </c>
      <c r="H118" s="24">
        <v>9.6</v>
      </c>
      <c r="I118" s="24">
        <v>4.5</v>
      </c>
      <c r="J118" s="24">
        <f t="shared" si="8"/>
        <v>45.87</v>
      </c>
      <c r="K118" s="24">
        <v>5</v>
      </c>
      <c r="L118" s="25">
        <f t="shared" si="10"/>
        <v>50.87</v>
      </c>
    </row>
    <row r="119" spans="1:12">
      <c r="A119" s="27">
        <v>22</v>
      </c>
      <c r="B119" s="45">
        <v>200842123</v>
      </c>
      <c r="C119" s="56" t="s">
        <v>123</v>
      </c>
      <c r="D119" s="24">
        <v>4.5999999999999996</v>
      </c>
      <c r="E119" s="24">
        <v>4.5</v>
      </c>
      <c r="F119" s="24">
        <v>2.93</v>
      </c>
      <c r="G119" s="24">
        <v>0.22</v>
      </c>
      <c r="H119" s="24">
        <v>0</v>
      </c>
      <c r="I119" s="24">
        <v>2.1</v>
      </c>
      <c r="J119" s="24">
        <f t="shared" si="8"/>
        <v>14.35</v>
      </c>
      <c r="K119" s="24" t="s">
        <v>475</v>
      </c>
      <c r="L119" s="25">
        <f>+J119</f>
        <v>14.35</v>
      </c>
    </row>
    <row r="120" spans="1:12">
      <c r="A120" s="27">
        <v>23</v>
      </c>
      <c r="B120" s="57">
        <v>200843271</v>
      </c>
      <c r="C120" s="59" t="s">
        <v>124</v>
      </c>
      <c r="D120" s="24">
        <v>1.95</v>
      </c>
      <c r="E120" s="24">
        <v>1.8</v>
      </c>
      <c r="F120" s="24">
        <v>1.53</v>
      </c>
      <c r="G120" s="24">
        <v>0</v>
      </c>
      <c r="H120" s="24">
        <v>0</v>
      </c>
      <c r="I120" s="24">
        <v>1.7</v>
      </c>
      <c r="J120" s="24">
        <f t="shared" si="8"/>
        <v>6.98</v>
      </c>
      <c r="K120" s="24" t="s">
        <v>475</v>
      </c>
      <c r="L120" s="25">
        <f t="shared" ref="L120:L125" si="11">+J120</f>
        <v>6.98</v>
      </c>
    </row>
    <row r="121" spans="1:12">
      <c r="A121" s="27">
        <v>24</v>
      </c>
      <c r="B121" s="45">
        <v>200843353</v>
      </c>
      <c r="C121" s="56" t="s">
        <v>125</v>
      </c>
      <c r="D121" s="24">
        <v>3.4</v>
      </c>
      <c r="E121" s="24">
        <v>4.3499999999999996</v>
      </c>
      <c r="F121" s="24">
        <v>3.65</v>
      </c>
      <c r="G121" s="24">
        <v>1.05</v>
      </c>
      <c r="H121" s="24">
        <v>0</v>
      </c>
      <c r="I121" s="24">
        <v>3.9</v>
      </c>
      <c r="J121" s="24">
        <f t="shared" si="8"/>
        <v>16.349999999999998</v>
      </c>
      <c r="K121" s="24" t="s">
        <v>475</v>
      </c>
      <c r="L121" s="25">
        <f t="shared" si="11"/>
        <v>16.349999999999998</v>
      </c>
    </row>
    <row r="122" spans="1:12">
      <c r="A122" s="27">
        <v>25</v>
      </c>
      <c r="B122" s="45">
        <v>200940315</v>
      </c>
      <c r="C122" s="59" t="s">
        <v>126</v>
      </c>
      <c r="D122" s="24">
        <v>3.85</v>
      </c>
      <c r="E122" s="24">
        <v>0</v>
      </c>
      <c r="F122" s="24">
        <v>0</v>
      </c>
      <c r="G122" s="24">
        <v>0</v>
      </c>
      <c r="H122" s="24">
        <v>0</v>
      </c>
      <c r="I122" s="24">
        <v>2.2000000000000002</v>
      </c>
      <c r="J122" s="24">
        <f t="shared" si="8"/>
        <v>6.0500000000000007</v>
      </c>
      <c r="K122" s="24" t="s">
        <v>475</v>
      </c>
      <c r="L122" s="25">
        <f t="shared" si="11"/>
        <v>6.0500000000000007</v>
      </c>
    </row>
    <row r="123" spans="1:12">
      <c r="A123" s="27">
        <v>26</v>
      </c>
      <c r="B123" s="45">
        <v>200940317</v>
      </c>
      <c r="C123" s="56" t="s">
        <v>127</v>
      </c>
      <c r="D123" s="24">
        <v>3.4</v>
      </c>
      <c r="E123" s="24">
        <v>7.8</v>
      </c>
      <c r="F123" s="24">
        <v>3.15</v>
      </c>
      <c r="G123" s="24">
        <v>6.3</v>
      </c>
      <c r="H123" s="24">
        <v>0</v>
      </c>
      <c r="I123" s="24">
        <v>3.6</v>
      </c>
      <c r="J123" s="24">
        <f t="shared" si="8"/>
        <v>24.25</v>
      </c>
      <c r="K123" s="24" t="s">
        <v>475</v>
      </c>
      <c r="L123" s="25">
        <f t="shared" si="11"/>
        <v>24.25</v>
      </c>
    </row>
    <row r="124" spans="1:12">
      <c r="A124" s="27">
        <v>27</v>
      </c>
      <c r="B124" s="45">
        <v>200940331</v>
      </c>
      <c r="C124" s="56" t="s">
        <v>128</v>
      </c>
      <c r="D124" s="24">
        <v>5.35</v>
      </c>
      <c r="E124" s="24">
        <v>4.72</v>
      </c>
      <c r="F124" s="24">
        <v>3.63</v>
      </c>
      <c r="G124" s="24">
        <v>3.3</v>
      </c>
      <c r="H124" s="24">
        <v>0</v>
      </c>
      <c r="I124" s="24">
        <v>2.2000000000000002</v>
      </c>
      <c r="J124" s="24">
        <f t="shared" si="8"/>
        <v>19.199999999999996</v>
      </c>
      <c r="K124" s="24" t="s">
        <v>475</v>
      </c>
      <c r="L124" s="25">
        <f t="shared" si="11"/>
        <v>19.199999999999996</v>
      </c>
    </row>
    <row r="125" spans="1:12">
      <c r="A125" s="27">
        <v>28</v>
      </c>
      <c r="B125" s="45">
        <v>200940334</v>
      </c>
      <c r="C125" s="59" t="s">
        <v>129</v>
      </c>
      <c r="D125" s="24">
        <v>3.7</v>
      </c>
      <c r="E125" s="24">
        <f>'[1]1 B'!E38</f>
        <v>6</v>
      </c>
      <c r="F125" s="24">
        <v>3.3</v>
      </c>
      <c r="G125" s="24">
        <v>3.45</v>
      </c>
      <c r="H125" s="24">
        <v>0</v>
      </c>
      <c r="I125" s="24">
        <v>3.9</v>
      </c>
      <c r="J125" s="24">
        <f t="shared" si="8"/>
        <v>20.349999999999998</v>
      </c>
      <c r="K125" s="24" t="s">
        <v>475</v>
      </c>
      <c r="L125" s="25">
        <f t="shared" si="11"/>
        <v>20.349999999999998</v>
      </c>
    </row>
    <row r="126" spans="1:12">
      <c r="A126" s="27">
        <v>29</v>
      </c>
      <c r="B126" s="57">
        <v>200940336</v>
      </c>
      <c r="C126" s="58" t="s">
        <v>130</v>
      </c>
      <c r="D126" s="24">
        <v>7.75</v>
      </c>
      <c r="E126" s="24">
        <v>8.77</v>
      </c>
      <c r="F126" s="24">
        <v>4.38</v>
      </c>
      <c r="G126" s="24">
        <v>7.12</v>
      </c>
      <c r="H126" s="24">
        <v>8.6999999999999993</v>
      </c>
      <c r="I126" s="24">
        <v>5</v>
      </c>
      <c r="J126" s="24">
        <f t="shared" si="8"/>
        <v>41.72</v>
      </c>
      <c r="K126" s="24">
        <v>3.2</v>
      </c>
      <c r="L126" s="25">
        <f t="shared" si="10"/>
        <v>44.92</v>
      </c>
    </row>
    <row r="127" spans="1:12">
      <c r="A127" s="27">
        <v>30</v>
      </c>
      <c r="B127" s="45">
        <v>200940345</v>
      </c>
      <c r="C127" s="56" t="s">
        <v>131</v>
      </c>
      <c r="D127" s="24">
        <v>4.3</v>
      </c>
      <c r="E127" s="24">
        <v>8.77</v>
      </c>
      <c r="F127" s="24">
        <v>3.48</v>
      </c>
      <c r="G127" s="24">
        <v>5.17</v>
      </c>
      <c r="H127" s="24">
        <v>0</v>
      </c>
      <c r="I127" s="24">
        <v>2.4</v>
      </c>
      <c r="J127" s="24">
        <f t="shared" si="8"/>
        <v>24.12</v>
      </c>
      <c r="K127" s="24" t="s">
        <v>475</v>
      </c>
      <c r="L127" s="25">
        <f>+J127</f>
        <v>24.12</v>
      </c>
    </row>
    <row r="128" spans="1:12">
      <c r="A128" s="27">
        <v>31</v>
      </c>
      <c r="B128" s="45">
        <v>200940347</v>
      </c>
      <c r="C128" s="56" t="s">
        <v>132</v>
      </c>
      <c r="D128" s="24">
        <v>3.25</v>
      </c>
      <c r="E128" s="24">
        <v>4.12</v>
      </c>
      <c r="F128" s="24">
        <v>3.9</v>
      </c>
      <c r="G128" s="24">
        <v>1.2</v>
      </c>
      <c r="H128" s="24">
        <v>0</v>
      </c>
      <c r="I128" s="24">
        <v>3.25</v>
      </c>
      <c r="J128" s="24">
        <f t="shared" si="8"/>
        <v>15.719999999999999</v>
      </c>
      <c r="K128" s="24" t="s">
        <v>475</v>
      </c>
      <c r="L128" s="25">
        <f t="shared" ref="L128:L138" si="12">+J128</f>
        <v>15.719999999999999</v>
      </c>
    </row>
    <row r="129" spans="1:12">
      <c r="A129" s="27">
        <v>32</v>
      </c>
      <c r="B129" s="45">
        <v>200940349</v>
      </c>
      <c r="C129" s="59" t="s">
        <v>133</v>
      </c>
      <c r="D129" s="24">
        <v>5.05</v>
      </c>
      <c r="E129" s="24">
        <v>3</v>
      </c>
      <c r="F129" s="24">
        <v>5.45</v>
      </c>
      <c r="G129" s="24">
        <v>3.9</v>
      </c>
      <c r="H129" s="24">
        <v>0</v>
      </c>
      <c r="I129" s="24">
        <v>5</v>
      </c>
      <c r="J129" s="24">
        <f t="shared" si="8"/>
        <v>22.400000000000002</v>
      </c>
      <c r="K129" s="24" t="s">
        <v>475</v>
      </c>
      <c r="L129" s="25">
        <f t="shared" si="12"/>
        <v>22.400000000000002</v>
      </c>
    </row>
    <row r="130" spans="1:12">
      <c r="A130" s="27">
        <v>33</v>
      </c>
      <c r="B130" s="45">
        <v>200940350</v>
      </c>
      <c r="C130" s="56" t="s">
        <v>134</v>
      </c>
      <c r="D130" s="24">
        <v>6.4</v>
      </c>
      <c r="E130" s="24">
        <v>8.6999999999999993</v>
      </c>
      <c r="F130" s="24">
        <v>7.2</v>
      </c>
      <c r="G130" s="24">
        <v>4.2</v>
      </c>
      <c r="H130" s="24">
        <v>9.75</v>
      </c>
      <c r="I130" s="24">
        <v>5</v>
      </c>
      <c r="J130" s="24">
        <f t="shared" si="8"/>
        <v>41.249999999999993</v>
      </c>
      <c r="K130" s="24">
        <v>5.2</v>
      </c>
      <c r="L130" s="25">
        <f>+K130+J130</f>
        <v>46.449999999999996</v>
      </c>
    </row>
    <row r="131" spans="1:12">
      <c r="A131" s="27">
        <v>34</v>
      </c>
      <c r="B131" s="45">
        <v>200940483</v>
      </c>
      <c r="C131" s="56" t="s">
        <v>135</v>
      </c>
      <c r="D131" s="24">
        <v>4.2</v>
      </c>
      <c r="E131" s="24">
        <v>7.42</v>
      </c>
      <c r="F131" s="24">
        <v>9.9</v>
      </c>
      <c r="G131" s="24">
        <v>8.4</v>
      </c>
      <c r="H131" s="24">
        <v>11.4</v>
      </c>
      <c r="I131" s="24">
        <v>5</v>
      </c>
      <c r="J131" s="24">
        <f t="shared" si="8"/>
        <v>46.32</v>
      </c>
      <c r="K131" s="24">
        <v>8.8000000000000007</v>
      </c>
      <c r="L131" s="25">
        <f>+K131+J131</f>
        <v>55.120000000000005</v>
      </c>
    </row>
    <row r="132" spans="1:12">
      <c r="A132" s="27">
        <v>35</v>
      </c>
      <c r="B132" s="45">
        <v>200940489</v>
      </c>
      <c r="C132" s="56" t="s">
        <v>136</v>
      </c>
      <c r="D132" s="24">
        <v>4.3</v>
      </c>
      <c r="E132" s="24">
        <v>6.9</v>
      </c>
      <c r="F132" s="24">
        <v>4.7</v>
      </c>
      <c r="G132" s="24">
        <v>4.72</v>
      </c>
      <c r="H132" s="24">
        <v>0</v>
      </c>
      <c r="I132" s="24">
        <v>5</v>
      </c>
      <c r="J132" s="24">
        <f t="shared" si="8"/>
        <v>25.62</v>
      </c>
      <c r="K132" s="24" t="s">
        <v>475</v>
      </c>
      <c r="L132" s="25">
        <f t="shared" si="12"/>
        <v>25.62</v>
      </c>
    </row>
    <row r="133" spans="1:12">
      <c r="A133" s="27">
        <v>36</v>
      </c>
      <c r="B133" s="45">
        <v>200940504</v>
      </c>
      <c r="C133" s="56" t="s">
        <v>137</v>
      </c>
      <c r="D133" s="24">
        <v>7.3</v>
      </c>
      <c r="E133" s="24">
        <v>7.57</v>
      </c>
      <c r="F133" s="24">
        <v>3.6</v>
      </c>
      <c r="G133" s="24">
        <v>0</v>
      </c>
      <c r="H133" s="24">
        <v>0</v>
      </c>
      <c r="I133" s="24">
        <v>1.1000000000000001</v>
      </c>
      <c r="J133" s="24">
        <f t="shared" si="8"/>
        <v>19.57</v>
      </c>
      <c r="K133" s="24" t="s">
        <v>475</v>
      </c>
      <c r="L133" s="25">
        <f t="shared" si="12"/>
        <v>19.57</v>
      </c>
    </row>
    <row r="134" spans="1:12">
      <c r="A134" s="27">
        <v>37</v>
      </c>
      <c r="B134" s="45">
        <v>200940512</v>
      </c>
      <c r="C134" s="56" t="s">
        <v>138</v>
      </c>
      <c r="D134" s="24">
        <v>5.05</v>
      </c>
      <c r="E134" s="24">
        <v>5.0999999999999996</v>
      </c>
      <c r="F134" s="24">
        <v>3.44</v>
      </c>
      <c r="G134" s="24">
        <v>0.45</v>
      </c>
      <c r="H134" s="24">
        <v>0</v>
      </c>
      <c r="I134" s="24">
        <v>3</v>
      </c>
      <c r="J134" s="24">
        <f t="shared" si="8"/>
        <v>17.04</v>
      </c>
      <c r="K134" s="24" t="s">
        <v>475</v>
      </c>
      <c r="L134" s="25">
        <f t="shared" si="12"/>
        <v>17.04</v>
      </c>
    </row>
    <row r="135" spans="1:12">
      <c r="A135" s="27">
        <v>38</v>
      </c>
      <c r="B135" s="45">
        <v>200940522</v>
      </c>
      <c r="C135" s="56" t="s">
        <v>139</v>
      </c>
      <c r="D135" s="24">
        <v>5.7</v>
      </c>
      <c r="E135" s="24">
        <v>5.9</v>
      </c>
      <c r="F135" s="24">
        <v>2.4</v>
      </c>
      <c r="G135" s="24">
        <v>0.22</v>
      </c>
      <c r="H135" s="24">
        <v>0</v>
      </c>
      <c r="I135" s="24">
        <v>1.05</v>
      </c>
      <c r="J135" s="24">
        <f t="shared" si="8"/>
        <v>15.27</v>
      </c>
      <c r="K135" s="24" t="s">
        <v>475</v>
      </c>
      <c r="L135" s="25">
        <f t="shared" si="12"/>
        <v>15.27</v>
      </c>
    </row>
    <row r="136" spans="1:12">
      <c r="A136" s="27">
        <v>39</v>
      </c>
      <c r="B136" s="45">
        <v>200940526</v>
      </c>
      <c r="C136" s="56" t="s">
        <v>140</v>
      </c>
      <c r="D136" s="24">
        <v>3.68</v>
      </c>
      <c r="E136" s="24">
        <v>2.7</v>
      </c>
      <c r="F136" s="24">
        <f>G136</f>
        <v>2.25</v>
      </c>
      <c r="G136" s="24">
        <v>2.25</v>
      </c>
      <c r="H136" s="24">
        <v>0</v>
      </c>
      <c r="I136" s="24">
        <v>3.9</v>
      </c>
      <c r="J136" s="24">
        <f t="shared" si="8"/>
        <v>14.780000000000001</v>
      </c>
      <c r="K136" s="24" t="s">
        <v>475</v>
      </c>
      <c r="L136" s="25">
        <f t="shared" si="12"/>
        <v>14.780000000000001</v>
      </c>
    </row>
    <row r="137" spans="1:12">
      <c r="A137" s="27">
        <v>40</v>
      </c>
      <c r="B137" s="57">
        <v>200940527</v>
      </c>
      <c r="C137" s="60" t="s">
        <v>141</v>
      </c>
      <c r="D137" s="24">
        <v>7.6</v>
      </c>
      <c r="E137" s="24">
        <v>5.0999999999999996</v>
      </c>
      <c r="F137" s="24">
        <v>3.8</v>
      </c>
      <c r="G137" s="24">
        <v>1.5</v>
      </c>
      <c r="H137" s="24">
        <v>0</v>
      </c>
      <c r="I137" s="24">
        <v>5</v>
      </c>
      <c r="J137" s="24">
        <f t="shared" si="8"/>
        <v>23</v>
      </c>
      <c r="K137" s="24" t="s">
        <v>475</v>
      </c>
      <c r="L137" s="25">
        <f t="shared" si="12"/>
        <v>23</v>
      </c>
    </row>
    <row r="138" spans="1:12">
      <c r="A138" s="27">
        <v>41</v>
      </c>
      <c r="B138" s="45">
        <v>200940534</v>
      </c>
      <c r="C138" s="56" t="s">
        <v>142</v>
      </c>
      <c r="D138" s="24">
        <v>4.1500000000000004</v>
      </c>
      <c r="E138" s="24">
        <v>6</v>
      </c>
      <c r="F138" s="24">
        <v>3.82</v>
      </c>
      <c r="G138" s="24">
        <v>2.92</v>
      </c>
      <c r="H138" s="24">
        <v>0</v>
      </c>
      <c r="I138" s="24">
        <v>3.9</v>
      </c>
      <c r="J138" s="24">
        <f t="shared" si="8"/>
        <v>20.79</v>
      </c>
      <c r="K138" s="24" t="s">
        <v>475</v>
      </c>
      <c r="L138" s="25">
        <f t="shared" si="12"/>
        <v>20.79</v>
      </c>
    </row>
    <row r="139" spans="1:12">
      <c r="A139" s="27">
        <v>42</v>
      </c>
      <c r="B139" s="45">
        <v>200940535</v>
      </c>
      <c r="C139" s="56" t="s">
        <v>143</v>
      </c>
      <c r="D139" s="24">
        <v>7.3</v>
      </c>
      <c r="E139" s="24">
        <v>8.32</v>
      </c>
      <c r="F139" s="24">
        <v>6.9</v>
      </c>
      <c r="G139" s="24">
        <v>5.55</v>
      </c>
      <c r="H139" s="24">
        <v>9.9</v>
      </c>
      <c r="I139" s="24">
        <v>5</v>
      </c>
      <c r="J139" s="24">
        <f t="shared" si="8"/>
        <v>42.97</v>
      </c>
      <c r="K139" s="24">
        <v>3.2</v>
      </c>
      <c r="L139" s="25">
        <f t="shared" si="10"/>
        <v>46.17</v>
      </c>
    </row>
    <row r="140" spans="1:12">
      <c r="A140" s="27">
        <v>43</v>
      </c>
      <c r="B140" s="45">
        <v>200940813</v>
      </c>
      <c r="C140" s="56" t="s">
        <v>144</v>
      </c>
      <c r="D140" s="24">
        <v>3.75</v>
      </c>
      <c r="E140" s="24">
        <v>4.8</v>
      </c>
      <c r="F140" s="24">
        <v>1.49</v>
      </c>
      <c r="G140" s="24">
        <v>0.22</v>
      </c>
      <c r="H140" s="24">
        <v>3.3</v>
      </c>
      <c r="I140" s="24">
        <v>4.05</v>
      </c>
      <c r="J140" s="24">
        <f t="shared" si="8"/>
        <v>17.61</v>
      </c>
      <c r="K140" s="24" t="s">
        <v>475</v>
      </c>
      <c r="L140" s="25">
        <f>+J140</f>
        <v>17.61</v>
      </c>
    </row>
    <row r="141" spans="1:12">
      <c r="A141" s="27">
        <v>44</v>
      </c>
      <c r="B141" s="57">
        <v>200940882</v>
      </c>
      <c r="C141" s="58" t="s">
        <v>145</v>
      </c>
      <c r="D141" s="24">
        <v>4.1500000000000004</v>
      </c>
      <c r="E141" s="24">
        <v>3.9</v>
      </c>
      <c r="F141" s="24">
        <v>3.95</v>
      </c>
      <c r="G141" s="24">
        <v>1.1200000000000001</v>
      </c>
      <c r="H141" s="24">
        <v>3.6</v>
      </c>
      <c r="I141" s="24">
        <v>3.75</v>
      </c>
      <c r="J141" s="24">
        <f t="shared" si="8"/>
        <v>20.47</v>
      </c>
      <c r="K141" s="24" t="s">
        <v>475</v>
      </c>
      <c r="L141" s="25">
        <f>+J141</f>
        <v>20.47</v>
      </c>
    </row>
    <row r="142" spans="1:12">
      <c r="A142" s="27">
        <v>45</v>
      </c>
      <c r="B142" s="45">
        <v>200941031</v>
      </c>
      <c r="C142" s="56" t="s">
        <v>146</v>
      </c>
      <c r="D142" s="24">
        <v>8.9499999999999993</v>
      </c>
      <c r="E142" s="24">
        <v>10.65</v>
      </c>
      <c r="F142" s="24">
        <v>12.1</v>
      </c>
      <c r="G142" s="24">
        <v>9.82</v>
      </c>
      <c r="H142" s="24">
        <v>11.7</v>
      </c>
      <c r="I142" s="24">
        <v>5</v>
      </c>
      <c r="J142" s="24">
        <f t="shared" si="8"/>
        <v>58.22</v>
      </c>
      <c r="K142" s="24">
        <v>10</v>
      </c>
      <c r="L142" s="25">
        <f t="shared" si="10"/>
        <v>68.22</v>
      </c>
    </row>
    <row r="143" spans="1:12">
      <c r="A143" s="27">
        <v>46</v>
      </c>
      <c r="B143" s="45">
        <v>200941043</v>
      </c>
      <c r="C143" s="59" t="s">
        <v>147</v>
      </c>
      <c r="D143" s="24">
        <v>4.75</v>
      </c>
      <c r="E143" s="24">
        <v>6.3</v>
      </c>
      <c r="F143" s="24">
        <v>1.94</v>
      </c>
      <c r="G143" s="24">
        <v>0.9</v>
      </c>
      <c r="H143" s="24">
        <v>2.4</v>
      </c>
      <c r="I143" s="24">
        <v>2.1</v>
      </c>
      <c r="J143" s="24">
        <f t="shared" si="8"/>
        <v>18.39</v>
      </c>
      <c r="K143" s="24" t="s">
        <v>475</v>
      </c>
      <c r="L143" s="25">
        <f>+J143</f>
        <v>18.39</v>
      </c>
    </row>
    <row r="144" spans="1:12">
      <c r="A144" s="27">
        <v>47</v>
      </c>
      <c r="B144" s="45">
        <v>200941044</v>
      </c>
      <c r="C144" s="56" t="s">
        <v>148</v>
      </c>
      <c r="D144" s="24">
        <v>6.1</v>
      </c>
      <c r="E144" s="24">
        <v>9.07</v>
      </c>
      <c r="F144" s="24">
        <v>5.35</v>
      </c>
      <c r="G144" s="24">
        <v>2.77</v>
      </c>
      <c r="H144" s="24">
        <v>0</v>
      </c>
      <c r="I144" s="24">
        <v>3.9</v>
      </c>
      <c r="J144" s="24">
        <f t="shared" si="8"/>
        <v>27.189999999999998</v>
      </c>
      <c r="K144" s="24" t="s">
        <v>475</v>
      </c>
      <c r="L144" s="25">
        <f>+J144</f>
        <v>27.189999999999998</v>
      </c>
    </row>
    <row r="145" spans="1:12">
      <c r="A145" s="27">
        <v>48</v>
      </c>
      <c r="B145" s="57">
        <v>200941046</v>
      </c>
      <c r="C145" s="60" t="s">
        <v>149</v>
      </c>
      <c r="D145" s="24">
        <v>10.82</v>
      </c>
      <c r="E145" s="24">
        <v>12.6</v>
      </c>
      <c r="F145" s="24">
        <v>6.93</v>
      </c>
      <c r="G145" s="24">
        <v>5.0999999999999996</v>
      </c>
      <c r="H145" s="24">
        <v>10.95</v>
      </c>
      <c r="I145" s="24">
        <v>5</v>
      </c>
      <c r="J145" s="24">
        <f t="shared" si="8"/>
        <v>51.4</v>
      </c>
      <c r="K145" s="24">
        <v>6.6</v>
      </c>
      <c r="L145" s="25">
        <f t="shared" si="10"/>
        <v>58</v>
      </c>
    </row>
    <row r="146" spans="1:12">
      <c r="A146" s="27">
        <v>49</v>
      </c>
      <c r="B146" s="57">
        <v>200941422</v>
      </c>
      <c r="C146" s="60" t="s">
        <v>150</v>
      </c>
      <c r="D146" s="24">
        <v>3.4</v>
      </c>
      <c r="E146" s="24">
        <v>3.3</v>
      </c>
      <c r="F146" s="24">
        <v>1.64</v>
      </c>
      <c r="G146" s="24">
        <v>0</v>
      </c>
      <c r="H146" s="24">
        <v>0</v>
      </c>
      <c r="I146" s="24">
        <v>3.35</v>
      </c>
      <c r="J146" s="24">
        <f t="shared" si="8"/>
        <v>11.69</v>
      </c>
      <c r="K146" s="24" t="s">
        <v>475</v>
      </c>
      <c r="L146" s="25">
        <f>+J146</f>
        <v>11.69</v>
      </c>
    </row>
    <row r="147" spans="1:12">
      <c r="A147" s="27">
        <v>50</v>
      </c>
      <c r="B147" s="57">
        <v>200941434</v>
      </c>
      <c r="C147" s="56" t="s">
        <v>151</v>
      </c>
      <c r="D147" s="24">
        <v>4.3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f t="shared" si="8"/>
        <v>4.3</v>
      </c>
      <c r="K147" s="24" t="s">
        <v>475</v>
      </c>
      <c r="L147" s="25">
        <f t="shared" ref="L147:L164" si="13">+J147</f>
        <v>4.3</v>
      </c>
    </row>
    <row r="148" spans="1:12">
      <c r="A148" s="27">
        <v>51</v>
      </c>
      <c r="B148" s="45">
        <v>200941685</v>
      </c>
      <c r="C148" s="56" t="s">
        <v>152</v>
      </c>
      <c r="D148" s="24">
        <v>3.1</v>
      </c>
      <c r="E148" s="24">
        <v>2.7</v>
      </c>
      <c r="F148" s="24">
        <v>4.37</v>
      </c>
      <c r="G148" s="24">
        <v>2.25</v>
      </c>
      <c r="H148" s="24">
        <v>0</v>
      </c>
      <c r="I148" s="24">
        <v>3.5</v>
      </c>
      <c r="J148" s="24">
        <f t="shared" si="8"/>
        <v>15.92</v>
      </c>
      <c r="K148" s="24" t="s">
        <v>475</v>
      </c>
      <c r="L148" s="25">
        <f t="shared" si="13"/>
        <v>15.92</v>
      </c>
    </row>
    <row r="149" spans="1:12">
      <c r="A149" s="27">
        <v>52</v>
      </c>
      <c r="B149" s="45">
        <v>200941860</v>
      </c>
      <c r="C149" s="59" t="s">
        <v>153</v>
      </c>
      <c r="D149" s="24">
        <v>3.25</v>
      </c>
      <c r="E149" s="24">
        <v>0</v>
      </c>
      <c r="F149" s="24">
        <v>0</v>
      </c>
      <c r="G149" s="24">
        <v>0</v>
      </c>
      <c r="H149" s="24">
        <v>0</v>
      </c>
      <c r="I149" s="24">
        <v>1</v>
      </c>
      <c r="J149" s="24">
        <f t="shared" si="8"/>
        <v>4.25</v>
      </c>
      <c r="K149" s="24" t="s">
        <v>475</v>
      </c>
      <c r="L149" s="25">
        <f t="shared" si="13"/>
        <v>4.25</v>
      </c>
    </row>
    <row r="150" spans="1:12">
      <c r="A150" s="27">
        <v>53</v>
      </c>
      <c r="B150" s="45">
        <v>200941896</v>
      </c>
      <c r="C150" s="56" t="s">
        <v>443</v>
      </c>
      <c r="D150" s="24">
        <v>7.05</v>
      </c>
      <c r="E150" s="24">
        <v>0</v>
      </c>
      <c r="F150" s="24">
        <v>0</v>
      </c>
      <c r="G150" s="24">
        <v>0</v>
      </c>
      <c r="H150" s="24">
        <v>0</v>
      </c>
      <c r="I150" s="24">
        <v>2.9</v>
      </c>
      <c r="J150" s="24">
        <f t="shared" si="8"/>
        <v>9.9499999999999993</v>
      </c>
      <c r="K150" s="24" t="s">
        <v>475</v>
      </c>
      <c r="L150" s="25">
        <f t="shared" si="13"/>
        <v>9.9499999999999993</v>
      </c>
    </row>
    <row r="151" spans="1:12">
      <c r="A151" s="27">
        <v>54</v>
      </c>
      <c r="B151" s="45">
        <v>200942657</v>
      </c>
      <c r="C151" s="56" t="s">
        <v>154</v>
      </c>
      <c r="D151" s="24">
        <v>3.7</v>
      </c>
      <c r="E151" s="24">
        <v>4.8</v>
      </c>
      <c r="F151" s="24">
        <v>3.6</v>
      </c>
      <c r="G151" s="24">
        <v>0</v>
      </c>
      <c r="H151" s="24">
        <v>0</v>
      </c>
      <c r="I151" s="24">
        <v>0</v>
      </c>
      <c r="J151" s="24">
        <f t="shared" si="8"/>
        <v>12.100000000000001</v>
      </c>
      <c r="K151" s="24" t="s">
        <v>475</v>
      </c>
      <c r="L151" s="25">
        <f t="shared" si="13"/>
        <v>12.100000000000001</v>
      </c>
    </row>
    <row r="152" spans="1:12">
      <c r="A152" s="27">
        <v>55</v>
      </c>
      <c r="B152" s="45">
        <v>200942659</v>
      </c>
      <c r="C152" s="56" t="s">
        <v>155</v>
      </c>
      <c r="D152" s="24">
        <v>3.7</v>
      </c>
      <c r="E152" s="24">
        <v>6.3</v>
      </c>
      <c r="F152" s="24">
        <v>5.55</v>
      </c>
      <c r="G152" s="24">
        <v>3.52</v>
      </c>
      <c r="H152" s="24">
        <v>0</v>
      </c>
      <c r="I152" s="24">
        <v>3.9</v>
      </c>
      <c r="J152" s="24">
        <f t="shared" si="8"/>
        <v>22.97</v>
      </c>
      <c r="K152" s="24" t="s">
        <v>475</v>
      </c>
      <c r="L152" s="25">
        <f t="shared" si="13"/>
        <v>22.97</v>
      </c>
    </row>
    <row r="153" spans="1:12">
      <c r="A153" s="27">
        <v>56</v>
      </c>
      <c r="B153" s="45">
        <v>200942662</v>
      </c>
      <c r="C153" s="56" t="s">
        <v>156</v>
      </c>
      <c r="D153" s="24">
        <v>5.85</v>
      </c>
      <c r="E153" s="24">
        <v>10.35</v>
      </c>
      <c r="F153" s="24">
        <v>6.9</v>
      </c>
      <c r="G153" s="24">
        <v>2.25</v>
      </c>
      <c r="H153" s="24">
        <v>4.8</v>
      </c>
      <c r="I153" s="24">
        <v>3</v>
      </c>
      <c r="J153" s="24">
        <f t="shared" si="8"/>
        <v>33.150000000000006</v>
      </c>
      <c r="K153" s="24" t="s">
        <v>475</v>
      </c>
      <c r="L153" s="25">
        <f t="shared" si="13"/>
        <v>33.150000000000006</v>
      </c>
    </row>
    <row r="154" spans="1:12">
      <c r="A154" s="27">
        <v>57</v>
      </c>
      <c r="B154" s="45">
        <v>200942689</v>
      </c>
      <c r="C154" s="56" t="s">
        <v>157</v>
      </c>
      <c r="D154" s="24">
        <v>5.65</v>
      </c>
      <c r="E154" s="24">
        <v>6.3</v>
      </c>
      <c r="F154" s="24">
        <v>7.25</v>
      </c>
      <c r="G154" s="24">
        <v>2.1</v>
      </c>
      <c r="H154" s="24">
        <v>3</v>
      </c>
      <c r="I154" s="24">
        <v>5</v>
      </c>
      <c r="J154" s="24">
        <f t="shared" si="8"/>
        <v>29.300000000000004</v>
      </c>
      <c r="K154" s="24" t="s">
        <v>475</v>
      </c>
      <c r="L154" s="25">
        <f t="shared" si="13"/>
        <v>29.300000000000004</v>
      </c>
    </row>
    <row r="155" spans="1:12">
      <c r="A155" s="27">
        <v>58</v>
      </c>
      <c r="B155" s="45">
        <v>200942711</v>
      </c>
      <c r="C155" s="56" t="s">
        <v>158</v>
      </c>
      <c r="D155" s="24">
        <v>3.4</v>
      </c>
      <c r="E155" s="24">
        <v>3.9</v>
      </c>
      <c r="F155" s="24">
        <v>1.43</v>
      </c>
      <c r="G155" s="24">
        <v>1.65</v>
      </c>
      <c r="H155" s="24">
        <v>0</v>
      </c>
      <c r="I155" s="24">
        <v>0</v>
      </c>
      <c r="J155" s="24">
        <f t="shared" si="8"/>
        <v>10.38</v>
      </c>
      <c r="K155" s="24" t="s">
        <v>475</v>
      </c>
      <c r="L155" s="25">
        <f t="shared" si="13"/>
        <v>10.38</v>
      </c>
    </row>
    <row r="156" spans="1:12">
      <c r="A156" s="27">
        <v>59</v>
      </c>
      <c r="B156" s="45">
        <v>200942840</v>
      </c>
      <c r="C156" s="56" t="s">
        <v>159</v>
      </c>
      <c r="D156" s="24">
        <v>6.1</v>
      </c>
      <c r="E156" s="24">
        <v>6</v>
      </c>
      <c r="F156" s="24">
        <v>5.09</v>
      </c>
      <c r="G156" s="24">
        <v>4.95</v>
      </c>
      <c r="H156" s="24">
        <v>0</v>
      </c>
      <c r="I156" s="24">
        <v>4</v>
      </c>
      <c r="J156" s="24">
        <f t="shared" si="8"/>
        <v>26.14</v>
      </c>
      <c r="K156" s="24" t="s">
        <v>475</v>
      </c>
      <c r="L156" s="25">
        <f t="shared" si="13"/>
        <v>26.14</v>
      </c>
    </row>
    <row r="157" spans="1:12">
      <c r="A157" s="27">
        <v>60</v>
      </c>
      <c r="B157" s="45">
        <v>200943360</v>
      </c>
      <c r="C157" s="56" t="s">
        <v>160</v>
      </c>
      <c r="D157" s="24">
        <v>2.25</v>
      </c>
      <c r="E157" s="24">
        <v>0</v>
      </c>
      <c r="F157" s="24">
        <v>0</v>
      </c>
      <c r="G157" s="24">
        <v>0</v>
      </c>
      <c r="H157" s="24">
        <v>0</v>
      </c>
      <c r="I157" s="24">
        <v>1.2</v>
      </c>
      <c r="J157" s="24">
        <f t="shared" si="8"/>
        <v>3.45</v>
      </c>
      <c r="K157" s="24" t="s">
        <v>475</v>
      </c>
      <c r="L157" s="25">
        <f t="shared" si="13"/>
        <v>3.45</v>
      </c>
    </row>
    <row r="158" spans="1:12">
      <c r="A158" s="27">
        <v>61</v>
      </c>
      <c r="B158" s="45">
        <v>200944091</v>
      </c>
      <c r="C158" s="59" t="s">
        <v>161</v>
      </c>
      <c r="D158" s="24">
        <v>4.3</v>
      </c>
      <c r="E158" s="24">
        <v>5.32</v>
      </c>
      <c r="F158" s="24">
        <v>4.8</v>
      </c>
      <c r="G158" s="24">
        <v>2.7</v>
      </c>
      <c r="H158" s="24">
        <v>0</v>
      </c>
      <c r="I158" s="24">
        <v>3.9</v>
      </c>
      <c r="J158" s="24">
        <f t="shared" si="8"/>
        <v>21.02</v>
      </c>
      <c r="K158" s="24" t="s">
        <v>475</v>
      </c>
      <c r="L158" s="25">
        <f t="shared" si="13"/>
        <v>21.02</v>
      </c>
    </row>
    <row r="159" spans="1:12">
      <c r="A159" s="27">
        <v>62</v>
      </c>
      <c r="B159" s="45">
        <v>200944093</v>
      </c>
      <c r="C159" s="59" t="s">
        <v>162</v>
      </c>
      <c r="D159" s="24">
        <v>5.88</v>
      </c>
      <c r="E159" s="24">
        <v>7.72</v>
      </c>
      <c r="F159" s="24">
        <v>6.9</v>
      </c>
      <c r="G159" s="24">
        <v>6.9</v>
      </c>
      <c r="H159" s="24">
        <v>0</v>
      </c>
      <c r="I159" s="24">
        <v>3.9</v>
      </c>
      <c r="J159" s="24">
        <f t="shared" si="8"/>
        <v>31.3</v>
      </c>
      <c r="K159" s="24" t="s">
        <v>475</v>
      </c>
      <c r="L159" s="25">
        <f t="shared" si="13"/>
        <v>31.3</v>
      </c>
    </row>
    <row r="160" spans="1:12">
      <c r="A160" s="27">
        <v>63</v>
      </c>
      <c r="B160" s="45">
        <v>200944809</v>
      </c>
      <c r="C160" s="56" t="s">
        <v>163</v>
      </c>
      <c r="D160" s="24">
        <v>2.7</v>
      </c>
      <c r="E160" s="24">
        <v>4.2</v>
      </c>
      <c r="F160" s="24">
        <v>5.72</v>
      </c>
      <c r="G160" s="24">
        <v>0</v>
      </c>
      <c r="H160" s="24">
        <v>0</v>
      </c>
      <c r="I160" s="24">
        <v>2.85</v>
      </c>
      <c r="J160" s="24">
        <f t="shared" si="8"/>
        <v>15.469999999999999</v>
      </c>
      <c r="K160" s="24" t="s">
        <v>475</v>
      </c>
      <c r="L160" s="25">
        <f t="shared" si="13"/>
        <v>15.469999999999999</v>
      </c>
    </row>
    <row r="161" spans="1:12">
      <c r="A161" s="27">
        <v>64</v>
      </c>
      <c r="B161" s="45">
        <v>200944811</v>
      </c>
      <c r="C161" s="59" t="s">
        <v>164</v>
      </c>
      <c r="D161" s="24">
        <v>2.65</v>
      </c>
      <c r="E161" s="24">
        <v>7.2</v>
      </c>
      <c r="F161" s="24">
        <v>0.63</v>
      </c>
      <c r="G161" s="24">
        <v>0</v>
      </c>
      <c r="H161" s="24">
        <v>0</v>
      </c>
      <c r="I161" s="24">
        <v>3.9</v>
      </c>
      <c r="J161" s="24">
        <f t="shared" si="8"/>
        <v>14.38</v>
      </c>
      <c r="K161" s="24" t="s">
        <v>475</v>
      </c>
      <c r="L161" s="25">
        <f t="shared" si="13"/>
        <v>14.38</v>
      </c>
    </row>
    <row r="162" spans="1:12">
      <c r="A162" s="27">
        <v>65</v>
      </c>
      <c r="B162" s="45">
        <v>200945123</v>
      </c>
      <c r="C162" s="59" t="s">
        <v>165</v>
      </c>
      <c r="D162" s="24">
        <v>6.85</v>
      </c>
      <c r="E162" s="24">
        <v>8.17</v>
      </c>
      <c r="F162" s="24">
        <v>6.38</v>
      </c>
      <c r="G162" s="24">
        <v>3.82</v>
      </c>
      <c r="H162" s="24">
        <v>6.75</v>
      </c>
      <c r="I162" s="24">
        <v>2.9</v>
      </c>
      <c r="J162" s="24">
        <f t="shared" si="8"/>
        <v>34.870000000000005</v>
      </c>
      <c r="K162" s="24" t="s">
        <v>475</v>
      </c>
      <c r="L162" s="25">
        <f t="shared" si="13"/>
        <v>34.870000000000005</v>
      </c>
    </row>
    <row r="163" spans="1:12">
      <c r="A163" s="27">
        <v>66</v>
      </c>
      <c r="B163" s="45">
        <v>200945126</v>
      </c>
      <c r="C163" s="59" t="s">
        <v>166</v>
      </c>
      <c r="D163" s="24">
        <v>4.5999999999999996</v>
      </c>
      <c r="E163" s="24">
        <v>3.9</v>
      </c>
      <c r="F163" s="24">
        <v>1.35</v>
      </c>
      <c r="G163" s="24">
        <v>0</v>
      </c>
      <c r="H163" s="24">
        <v>0</v>
      </c>
      <c r="I163" s="24">
        <v>2</v>
      </c>
      <c r="J163" s="24">
        <f t="shared" si="8"/>
        <v>11.85</v>
      </c>
      <c r="K163" s="24" t="s">
        <v>475</v>
      </c>
      <c r="L163" s="25">
        <f t="shared" si="13"/>
        <v>11.85</v>
      </c>
    </row>
    <row r="164" spans="1:12">
      <c r="A164" s="27">
        <v>67</v>
      </c>
      <c r="B164" s="57">
        <v>200980007</v>
      </c>
      <c r="C164" s="58" t="s">
        <v>167</v>
      </c>
      <c r="D164" s="24">
        <v>4</v>
      </c>
      <c r="E164" s="24">
        <v>8.17</v>
      </c>
      <c r="F164" s="24">
        <v>5.43</v>
      </c>
      <c r="G164" s="24">
        <v>0</v>
      </c>
      <c r="H164" s="24">
        <v>0</v>
      </c>
      <c r="I164" s="24">
        <v>4</v>
      </c>
      <c r="J164" s="24">
        <f t="shared" si="8"/>
        <v>21.6</v>
      </c>
      <c r="K164" s="24" t="s">
        <v>475</v>
      </c>
      <c r="L164" s="25">
        <f t="shared" si="13"/>
        <v>21.6</v>
      </c>
    </row>
    <row r="165" spans="1:12">
      <c r="A165" s="29"/>
      <c r="B165" s="29"/>
      <c r="C165" s="30"/>
      <c r="D165" s="31"/>
      <c r="E165" s="31"/>
      <c r="F165" s="31"/>
      <c r="G165" s="31"/>
      <c r="H165" s="31"/>
      <c r="I165" s="31"/>
      <c r="J165" s="31"/>
      <c r="K165" s="31"/>
      <c r="L165" s="32"/>
    </row>
    <row r="166" spans="1:12">
      <c r="A166" s="29"/>
      <c r="B166" s="29"/>
      <c r="C166" s="30"/>
      <c r="D166" s="31"/>
      <c r="E166" s="31"/>
      <c r="F166" s="31"/>
      <c r="G166" s="31"/>
      <c r="H166" s="31"/>
      <c r="I166" s="31"/>
      <c r="J166" s="31"/>
      <c r="K166" s="31"/>
      <c r="L166" s="32"/>
    </row>
    <row r="167" spans="1:12" ht="17.25" thickBot="1">
      <c r="A167" s="33"/>
      <c r="B167" s="33"/>
      <c r="C167" s="34"/>
      <c r="D167" s="31"/>
      <c r="E167" s="31"/>
      <c r="F167" s="31"/>
      <c r="G167" s="31"/>
      <c r="H167" s="35"/>
      <c r="I167" s="35"/>
      <c r="J167" s="35"/>
      <c r="K167" s="9"/>
      <c r="L167" s="32"/>
    </row>
    <row r="168" spans="1:12">
      <c r="H168" s="100" t="s">
        <v>447</v>
      </c>
      <c r="I168" s="100"/>
      <c r="J168" s="100"/>
      <c r="L168" s="1"/>
    </row>
    <row r="169" spans="1:12">
      <c r="D169" s="36"/>
      <c r="H169" s="100" t="s">
        <v>430</v>
      </c>
      <c r="I169" s="100"/>
      <c r="J169" s="100"/>
      <c r="L169" s="1"/>
    </row>
    <row r="170" spans="1:12">
      <c r="D170" s="36"/>
      <c r="H170" s="100" t="s">
        <v>448</v>
      </c>
      <c r="I170" s="100"/>
      <c r="J170" s="100"/>
      <c r="L170" s="1"/>
    </row>
    <row r="171" spans="1:12" ht="17.25" thickBot="1">
      <c r="A171" s="1" t="s">
        <v>0</v>
      </c>
      <c r="I171" s="3"/>
    </row>
    <row r="172" spans="1:12">
      <c r="A172" s="1" t="s">
        <v>1</v>
      </c>
      <c r="F172" s="4"/>
      <c r="G172" s="5"/>
      <c r="H172" s="6"/>
      <c r="I172" s="7"/>
    </row>
    <row r="173" spans="1:12">
      <c r="A173" s="8" t="s">
        <v>2</v>
      </c>
      <c r="B173" s="9"/>
      <c r="E173" s="7"/>
      <c r="F173" s="10"/>
      <c r="G173" s="11"/>
      <c r="H173" s="12"/>
      <c r="I173" s="7"/>
    </row>
    <row r="174" spans="1:12" ht="17.25" thickBot="1">
      <c r="A174" s="13" t="s">
        <v>3</v>
      </c>
      <c r="B174" s="9"/>
      <c r="E174" s="7"/>
      <c r="F174" s="10"/>
      <c r="G174" s="11"/>
      <c r="H174" s="12"/>
      <c r="I174" s="7"/>
    </row>
    <row r="175" spans="1:12" ht="17.25" thickBot="1">
      <c r="A175" s="14" t="s">
        <v>22</v>
      </c>
      <c r="B175" s="15"/>
      <c r="C175" s="16"/>
      <c r="E175" s="7"/>
      <c r="F175" s="17"/>
      <c r="G175" s="18"/>
      <c r="H175" s="19"/>
      <c r="I175" s="7"/>
    </row>
    <row r="176" spans="1:12">
      <c r="A176" s="8"/>
      <c r="B176" s="9"/>
      <c r="E176" s="7"/>
      <c r="I176" s="3"/>
    </row>
    <row r="177" spans="1:12">
      <c r="A177" s="1" t="s">
        <v>91</v>
      </c>
      <c r="B177" s="9"/>
      <c r="C177" s="20" t="s">
        <v>168</v>
      </c>
      <c r="E177" s="7"/>
      <c r="I177" s="3"/>
    </row>
    <row r="178" spans="1:12">
      <c r="A178" s="1" t="s">
        <v>4</v>
      </c>
      <c r="C178" s="20" t="s">
        <v>445</v>
      </c>
      <c r="I178" s="3"/>
    </row>
    <row r="179" spans="1:12">
      <c r="A179" s="1" t="s">
        <v>5</v>
      </c>
      <c r="C179" s="20" t="s">
        <v>449</v>
      </c>
    </row>
    <row r="180" spans="1:12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2">
      <c r="A181" s="1"/>
      <c r="C181" s="22" t="s">
        <v>6</v>
      </c>
      <c r="D181" s="22" t="s">
        <v>93</v>
      </c>
      <c r="E181" s="22" t="s">
        <v>93</v>
      </c>
      <c r="F181" s="22" t="s">
        <v>93</v>
      </c>
      <c r="G181" s="22" t="s">
        <v>93</v>
      </c>
      <c r="H181" s="22" t="s">
        <v>93</v>
      </c>
      <c r="I181" s="22" t="s">
        <v>94</v>
      </c>
      <c r="J181" s="22" t="s">
        <v>8</v>
      </c>
      <c r="K181" s="22" t="s">
        <v>7</v>
      </c>
      <c r="L181" s="22" t="s">
        <v>9</v>
      </c>
    </row>
    <row r="182" spans="1:12">
      <c r="A182" s="22" t="s">
        <v>10</v>
      </c>
      <c r="B182" s="22" t="s">
        <v>11</v>
      </c>
      <c r="C182" s="22" t="s">
        <v>12</v>
      </c>
      <c r="D182" s="22" t="s">
        <v>13</v>
      </c>
      <c r="E182" s="22" t="s">
        <v>14</v>
      </c>
      <c r="F182" s="22" t="s">
        <v>15</v>
      </c>
      <c r="G182" s="22" t="s">
        <v>16</v>
      </c>
      <c r="H182" s="22" t="s">
        <v>17</v>
      </c>
      <c r="I182" s="22" t="s">
        <v>95</v>
      </c>
      <c r="J182" s="22" t="s">
        <v>18</v>
      </c>
      <c r="K182" s="22" t="s">
        <v>19</v>
      </c>
      <c r="L182" s="22" t="s">
        <v>20</v>
      </c>
    </row>
    <row r="183" spans="1:12">
      <c r="A183" s="23">
        <v>1</v>
      </c>
      <c r="B183" s="45">
        <v>200742804</v>
      </c>
      <c r="C183" s="56" t="s">
        <v>170</v>
      </c>
      <c r="D183" s="24">
        <v>4.8</v>
      </c>
      <c r="E183" s="24">
        <v>6</v>
      </c>
      <c r="F183" s="66">
        <v>10.26</v>
      </c>
      <c r="G183" s="24">
        <v>4.95</v>
      </c>
      <c r="H183" s="24">
        <v>6.44</v>
      </c>
      <c r="I183" s="24">
        <v>0</v>
      </c>
      <c r="J183" s="24">
        <f>+I183+H183+G183+F183+E183+D183</f>
        <v>32.449999999999996</v>
      </c>
      <c r="K183" s="24" t="s">
        <v>475</v>
      </c>
      <c r="L183" s="25">
        <v>32.450000000000003</v>
      </c>
    </row>
    <row r="184" spans="1:12">
      <c r="A184" s="26">
        <v>2</v>
      </c>
      <c r="B184" s="45">
        <v>200780031</v>
      </c>
      <c r="C184" s="59" t="s">
        <v>171</v>
      </c>
      <c r="D184" s="24">
        <v>6.92</v>
      </c>
      <c r="E184" s="24">
        <v>9.41</v>
      </c>
      <c r="F184" s="66">
        <v>8.8800000000000008</v>
      </c>
      <c r="G184" s="24">
        <v>7.25</v>
      </c>
      <c r="H184" s="24">
        <v>12.63</v>
      </c>
      <c r="I184" s="24">
        <v>3.25</v>
      </c>
      <c r="J184" s="24">
        <f t="shared" ref="J184:J244" si="14">+I184+H184+G184+F184+E184+D184</f>
        <v>48.34</v>
      </c>
      <c r="K184" s="24">
        <v>6.85</v>
      </c>
      <c r="L184" s="25">
        <f t="shared" ref="L184:L220" si="15">+K184+J184</f>
        <v>55.190000000000005</v>
      </c>
    </row>
    <row r="185" spans="1:12">
      <c r="A185" s="27">
        <v>3</v>
      </c>
      <c r="B185" s="57">
        <v>200840189</v>
      </c>
      <c r="C185" s="60" t="s">
        <v>173</v>
      </c>
      <c r="D185" s="24">
        <v>4.3</v>
      </c>
      <c r="E185" s="24">
        <v>2.74</v>
      </c>
      <c r="F185" s="66">
        <v>0</v>
      </c>
      <c r="G185" s="24">
        <v>0</v>
      </c>
      <c r="H185" s="24">
        <v>0</v>
      </c>
      <c r="I185" s="24">
        <v>2.9</v>
      </c>
      <c r="J185" s="24">
        <f t="shared" si="14"/>
        <v>9.9400000000000013</v>
      </c>
      <c r="K185" s="24" t="s">
        <v>475</v>
      </c>
      <c r="L185" s="25">
        <v>9.94</v>
      </c>
    </row>
    <row r="186" spans="1:12">
      <c r="A186" s="26">
        <v>4</v>
      </c>
      <c r="B186" s="45">
        <v>200840192</v>
      </c>
      <c r="C186" s="56" t="s">
        <v>174</v>
      </c>
      <c r="D186" s="24">
        <v>5.43</v>
      </c>
      <c r="E186" s="24">
        <v>7.86</v>
      </c>
      <c r="F186" s="66">
        <v>11.5</v>
      </c>
      <c r="G186" s="24">
        <v>7.05</v>
      </c>
      <c r="H186" s="24">
        <v>10.6</v>
      </c>
      <c r="I186" s="24">
        <v>5</v>
      </c>
      <c r="J186" s="24">
        <f t="shared" si="14"/>
        <v>47.44</v>
      </c>
      <c r="K186" s="24" t="s">
        <v>476</v>
      </c>
      <c r="L186" s="25">
        <v>47.44</v>
      </c>
    </row>
    <row r="187" spans="1:12">
      <c r="A187" s="26">
        <v>5</v>
      </c>
      <c r="B187" s="57">
        <v>200840193</v>
      </c>
      <c r="C187" s="56" t="s">
        <v>175</v>
      </c>
      <c r="D187" s="24">
        <v>5.2</v>
      </c>
      <c r="E187" s="24">
        <v>4.8</v>
      </c>
      <c r="F187" s="66">
        <v>8.9499999999999993</v>
      </c>
      <c r="G187" s="24">
        <v>7.02</v>
      </c>
      <c r="H187" s="24">
        <v>6.9</v>
      </c>
      <c r="I187" s="24">
        <v>5</v>
      </c>
      <c r="J187" s="24">
        <f t="shared" si="14"/>
        <v>37.870000000000005</v>
      </c>
      <c r="K187" s="24" t="s">
        <v>475</v>
      </c>
      <c r="L187" s="25">
        <v>37.869999999999997</v>
      </c>
    </row>
    <row r="188" spans="1:12">
      <c r="A188" s="26">
        <v>6</v>
      </c>
      <c r="B188" s="45">
        <v>200840202</v>
      </c>
      <c r="C188" s="59" t="s">
        <v>176</v>
      </c>
      <c r="D188" s="24">
        <v>7.65</v>
      </c>
      <c r="E188" s="24">
        <v>5.2</v>
      </c>
      <c r="F188" s="66">
        <v>10.02</v>
      </c>
      <c r="G188" s="24">
        <v>5.32</v>
      </c>
      <c r="H188" s="24">
        <v>9.77</v>
      </c>
      <c r="I188" s="24">
        <v>2.0499999999999998</v>
      </c>
      <c r="J188" s="24">
        <f t="shared" si="14"/>
        <v>40.01</v>
      </c>
      <c r="K188" s="24" t="s">
        <v>475</v>
      </c>
      <c r="L188" s="25">
        <v>40.01</v>
      </c>
    </row>
    <row r="189" spans="1:12">
      <c r="A189" s="26">
        <v>7</v>
      </c>
      <c r="B189" s="57">
        <v>200840209</v>
      </c>
      <c r="C189" s="60" t="s">
        <v>177</v>
      </c>
      <c r="D189" s="24">
        <v>9.4</v>
      </c>
      <c r="E189" s="24">
        <v>13.14</v>
      </c>
      <c r="F189" s="66">
        <v>14.58</v>
      </c>
      <c r="G189" s="24">
        <v>13.2</v>
      </c>
      <c r="H189" s="24">
        <v>10.6</v>
      </c>
      <c r="I189" s="24">
        <v>5</v>
      </c>
      <c r="J189" s="24">
        <f t="shared" si="14"/>
        <v>65.92</v>
      </c>
      <c r="K189" s="24">
        <v>14.99</v>
      </c>
      <c r="L189" s="25">
        <f t="shared" si="15"/>
        <v>80.91</v>
      </c>
    </row>
    <row r="190" spans="1:12">
      <c r="A190" s="26">
        <v>8</v>
      </c>
      <c r="B190" s="57">
        <v>200842040</v>
      </c>
      <c r="C190" s="60" t="s">
        <v>178</v>
      </c>
      <c r="D190" s="24">
        <v>10.45</v>
      </c>
      <c r="E190" s="24">
        <v>10.6</v>
      </c>
      <c r="F190" s="66">
        <v>12.63</v>
      </c>
      <c r="G190" s="24">
        <v>11.72</v>
      </c>
      <c r="H190" s="24">
        <v>11.22</v>
      </c>
      <c r="I190" s="24">
        <v>5</v>
      </c>
      <c r="J190" s="24">
        <f t="shared" si="14"/>
        <v>61.620000000000005</v>
      </c>
      <c r="K190" s="24">
        <v>14.54</v>
      </c>
      <c r="L190" s="25">
        <f t="shared" si="15"/>
        <v>76.16</v>
      </c>
    </row>
    <row r="191" spans="1:12">
      <c r="A191" s="26">
        <v>9</v>
      </c>
      <c r="B191" s="45">
        <v>200842064</v>
      </c>
      <c r="C191" s="56" t="s">
        <v>179</v>
      </c>
      <c r="D191" s="24">
        <v>1.5</v>
      </c>
      <c r="E191" s="24">
        <v>1.82</v>
      </c>
      <c r="F191" s="66">
        <v>0.6</v>
      </c>
      <c r="G191" s="24">
        <v>0</v>
      </c>
      <c r="H191" s="24">
        <v>0</v>
      </c>
      <c r="I191" s="24">
        <v>2.2999999999999998</v>
      </c>
      <c r="J191" s="24">
        <f t="shared" si="14"/>
        <v>6.22</v>
      </c>
      <c r="K191" s="24" t="s">
        <v>475</v>
      </c>
      <c r="L191" s="25">
        <v>6.22</v>
      </c>
    </row>
    <row r="192" spans="1:12">
      <c r="A192" s="26">
        <v>10</v>
      </c>
      <c r="B192" s="45">
        <v>200842096</v>
      </c>
      <c r="C192" s="56" t="s">
        <v>180</v>
      </c>
      <c r="D192" s="24">
        <v>2.8</v>
      </c>
      <c r="E192" s="24">
        <v>3.4</v>
      </c>
      <c r="F192" s="66">
        <v>3.55</v>
      </c>
      <c r="G192" s="24">
        <v>1.35</v>
      </c>
      <c r="H192" s="24">
        <v>1.9</v>
      </c>
      <c r="I192" s="24">
        <v>5</v>
      </c>
      <c r="J192" s="24">
        <f t="shared" si="14"/>
        <v>18</v>
      </c>
      <c r="K192" s="24" t="s">
        <v>475</v>
      </c>
      <c r="L192" s="25">
        <v>18</v>
      </c>
    </row>
    <row r="193" spans="1:12">
      <c r="A193" s="26">
        <v>11</v>
      </c>
      <c r="B193" s="45">
        <v>200842099</v>
      </c>
      <c r="C193" s="56" t="s">
        <v>181</v>
      </c>
      <c r="D193" s="24">
        <v>7.75</v>
      </c>
      <c r="E193" s="24">
        <v>9.01</v>
      </c>
      <c r="F193" s="66">
        <v>8.73</v>
      </c>
      <c r="G193" s="24">
        <v>9.3800000000000008</v>
      </c>
      <c r="H193" s="28">
        <v>11.7</v>
      </c>
      <c r="I193" s="28">
        <v>4.8499999999999996</v>
      </c>
      <c r="J193" s="24">
        <f t="shared" si="14"/>
        <v>51.419999999999995</v>
      </c>
      <c r="K193" s="24">
        <v>7.65</v>
      </c>
      <c r="L193" s="25">
        <f t="shared" si="15"/>
        <v>59.069999999999993</v>
      </c>
    </row>
    <row r="194" spans="1:12">
      <c r="A194" s="26">
        <v>12</v>
      </c>
      <c r="B194" s="45">
        <v>200842112</v>
      </c>
      <c r="C194" s="56" t="s">
        <v>182</v>
      </c>
      <c r="D194" s="79">
        <v>8.75</v>
      </c>
      <c r="E194" s="79">
        <v>8.6999999999999993</v>
      </c>
      <c r="F194" s="95">
        <v>10.130000000000001</v>
      </c>
      <c r="G194" s="79">
        <v>6.1</v>
      </c>
      <c r="H194" s="79">
        <v>12.72</v>
      </c>
      <c r="I194" s="79">
        <v>3</v>
      </c>
      <c r="J194" s="79">
        <f t="shared" si="14"/>
        <v>49.400000000000006</v>
      </c>
      <c r="K194" s="24">
        <v>12.85</v>
      </c>
      <c r="L194" s="25">
        <f t="shared" si="15"/>
        <v>62.250000000000007</v>
      </c>
    </row>
    <row r="195" spans="1:12">
      <c r="A195" s="26">
        <v>13</v>
      </c>
      <c r="B195" s="45">
        <v>200842121</v>
      </c>
      <c r="C195" s="59" t="s">
        <v>183</v>
      </c>
      <c r="D195" s="24">
        <v>6.25</v>
      </c>
      <c r="E195" s="24">
        <v>5.7</v>
      </c>
      <c r="F195" s="66">
        <v>2.86</v>
      </c>
      <c r="G195" s="24">
        <v>0</v>
      </c>
      <c r="H195" s="28">
        <v>0</v>
      </c>
      <c r="I195" s="28">
        <v>3.25</v>
      </c>
      <c r="J195" s="24">
        <f t="shared" si="14"/>
        <v>18.059999999999999</v>
      </c>
      <c r="K195" s="24" t="s">
        <v>475</v>
      </c>
      <c r="L195" s="25">
        <v>18.059999999999999</v>
      </c>
    </row>
    <row r="196" spans="1:12">
      <c r="A196" s="23">
        <v>14</v>
      </c>
      <c r="B196" s="45">
        <v>200842378</v>
      </c>
      <c r="C196" s="56" t="s">
        <v>184</v>
      </c>
      <c r="D196" s="24">
        <v>4.1500000000000004</v>
      </c>
      <c r="E196" s="24">
        <v>2.86</v>
      </c>
      <c r="F196" s="66">
        <v>1.2</v>
      </c>
      <c r="G196" s="24">
        <v>0</v>
      </c>
      <c r="H196" s="28">
        <v>0</v>
      </c>
      <c r="I196" s="28">
        <v>2.95</v>
      </c>
      <c r="J196" s="24">
        <f t="shared" si="14"/>
        <v>11.16</v>
      </c>
      <c r="K196" s="24" t="s">
        <v>475</v>
      </c>
      <c r="L196" s="25">
        <v>11.16</v>
      </c>
    </row>
    <row r="197" spans="1:12">
      <c r="A197" s="23">
        <v>15</v>
      </c>
      <c r="B197" s="45">
        <v>200842411</v>
      </c>
      <c r="C197" s="56" t="s">
        <v>185</v>
      </c>
      <c r="D197" s="24">
        <v>7.3</v>
      </c>
      <c r="E197" s="24">
        <v>10.27</v>
      </c>
      <c r="F197" s="66">
        <v>10.52</v>
      </c>
      <c r="G197" s="24">
        <v>10.97</v>
      </c>
      <c r="H197" s="24">
        <v>8.8800000000000008</v>
      </c>
      <c r="I197" s="24">
        <v>5</v>
      </c>
      <c r="J197" s="24">
        <f t="shared" si="14"/>
        <v>52.94</v>
      </c>
      <c r="K197" s="24">
        <v>8.85</v>
      </c>
      <c r="L197" s="25">
        <f t="shared" si="15"/>
        <v>61.79</v>
      </c>
    </row>
    <row r="198" spans="1:12">
      <c r="A198" s="23">
        <v>16</v>
      </c>
      <c r="B198" s="45">
        <v>200842436</v>
      </c>
      <c r="C198" s="56" t="s">
        <v>186</v>
      </c>
      <c r="D198" s="24">
        <v>5.4</v>
      </c>
      <c r="E198" s="24">
        <v>6.66</v>
      </c>
      <c r="F198" s="66">
        <v>9.6999999999999993</v>
      </c>
      <c r="G198" s="24">
        <v>2.97</v>
      </c>
      <c r="H198" s="24">
        <v>2.7</v>
      </c>
      <c r="I198" s="24">
        <v>5</v>
      </c>
      <c r="J198" s="24">
        <f t="shared" si="14"/>
        <v>32.43</v>
      </c>
      <c r="K198" s="24" t="s">
        <v>475</v>
      </c>
      <c r="L198" s="25">
        <v>32.43</v>
      </c>
    </row>
    <row r="199" spans="1:12">
      <c r="A199" s="23">
        <v>17</v>
      </c>
      <c r="B199" s="45">
        <v>200842450</v>
      </c>
      <c r="C199" s="56" t="s">
        <v>187</v>
      </c>
      <c r="D199" s="24">
        <v>8.73</v>
      </c>
      <c r="E199" s="24">
        <v>9.19</v>
      </c>
      <c r="F199" s="66">
        <v>8.8800000000000008</v>
      </c>
      <c r="G199" s="24">
        <v>8.65</v>
      </c>
      <c r="H199" s="24">
        <v>8.93</v>
      </c>
      <c r="I199" s="24">
        <v>4.5</v>
      </c>
      <c r="J199" s="24">
        <f t="shared" si="14"/>
        <v>48.879999999999995</v>
      </c>
      <c r="K199" s="24">
        <v>11.95</v>
      </c>
      <c r="L199" s="25">
        <f t="shared" si="15"/>
        <v>60.83</v>
      </c>
    </row>
    <row r="200" spans="1:12">
      <c r="A200" s="27">
        <v>18</v>
      </c>
      <c r="B200" s="57">
        <v>200843337</v>
      </c>
      <c r="C200" s="56" t="s">
        <v>188</v>
      </c>
      <c r="D200" s="24">
        <v>4.9000000000000004</v>
      </c>
      <c r="E200" s="24">
        <v>2.74</v>
      </c>
      <c r="F200" s="66">
        <v>0</v>
      </c>
      <c r="G200" s="24">
        <v>0</v>
      </c>
      <c r="H200" s="24">
        <v>0</v>
      </c>
      <c r="I200" s="24">
        <v>2.0499999999999998</v>
      </c>
      <c r="J200" s="24">
        <f t="shared" si="14"/>
        <v>9.6900000000000013</v>
      </c>
      <c r="K200" s="24" t="s">
        <v>475</v>
      </c>
      <c r="L200" s="25">
        <v>9.69</v>
      </c>
    </row>
    <row r="201" spans="1:12">
      <c r="A201" s="27">
        <v>19</v>
      </c>
      <c r="B201" s="45">
        <v>200843789</v>
      </c>
      <c r="C201" s="56" t="s">
        <v>189</v>
      </c>
      <c r="D201" s="24">
        <v>5.8</v>
      </c>
      <c r="E201" s="24">
        <v>6.13</v>
      </c>
      <c r="F201" s="66">
        <v>2.13</v>
      </c>
      <c r="G201" s="24">
        <v>3.32</v>
      </c>
      <c r="H201" s="24">
        <v>0</v>
      </c>
      <c r="I201" s="24">
        <v>4.8499999999999996</v>
      </c>
      <c r="J201" s="24">
        <f t="shared" si="14"/>
        <v>22.23</v>
      </c>
      <c r="K201" s="24" t="s">
        <v>475</v>
      </c>
      <c r="L201" s="25">
        <v>22.23</v>
      </c>
    </row>
    <row r="202" spans="1:12">
      <c r="A202" s="27">
        <v>20</v>
      </c>
      <c r="B202" s="45">
        <v>200880002</v>
      </c>
      <c r="C202" s="56" t="s">
        <v>190</v>
      </c>
      <c r="D202" s="24">
        <v>7</v>
      </c>
      <c r="E202" s="24">
        <v>7.53</v>
      </c>
      <c r="F202" s="66">
        <v>10.9</v>
      </c>
      <c r="G202" s="24">
        <v>5.52</v>
      </c>
      <c r="H202" s="24">
        <v>6.78</v>
      </c>
      <c r="I202" s="24">
        <v>5</v>
      </c>
      <c r="J202" s="24">
        <f t="shared" si="14"/>
        <v>42.730000000000004</v>
      </c>
      <c r="K202" s="24" t="s">
        <v>476</v>
      </c>
      <c r="L202" s="25">
        <v>42.73</v>
      </c>
    </row>
    <row r="203" spans="1:12">
      <c r="A203" s="27">
        <v>21</v>
      </c>
      <c r="B203" s="45">
        <v>200940337</v>
      </c>
      <c r="C203" s="56" t="s">
        <v>191</v>
      </c>
      <c r="D203" s="24">
        <v>4.75</v>
      </c>
      <c r="E203" s="24">
        <v>7.04</v>
      </c>
      <c r="F203" s="66">
        <v>4.1399999999999997</v>
      </c>
      <c r="G203" s="24">
        <v>0</v>
      </c>
      <c r="H203" s="24">
        <v>0</v>
      </c>
      <c r="I203" s="24">
        <v>4.8499999999999996</v>
      </c>
      <c r="J203" s="24">
        <f t="shared" si="14"/>
        <v>20.779999999999998</v>
      </c>
      <c r="K203" s="24" t="s">
        <v>475</v>
      </c>
      <c r="L203" s="25">
        <v>20.78</v>
      </c>
    </row>
    <row r="204" spans="1:12">
      <c r="A204" s="27">
        <v>22</v>
      </c>
      <c r="B204" s="57">
        <v>200940341</v>
      </c>
      <c r="C204" s="60" t="s">
        <v>192</v>
      </c>
      <c r="D204" s="24">
        <v>3.4</v>
      </c>
      <c r="E204" s="24">
        <v>6.38</v>
      </c>
      <c r="F204" s="66">
        <v>8.39</v>
      </c>
      <c r="G204" s="24">
        <v>5.93</v>
      </c>
      <c r="H204" s="24">
        <v>10.72</v>
      </c>
      <c r="I204" s="24">
        <v>4.4000000000000004</v>
      </c>
      <c r="J204" s="24">
        <f t="shared" si="14"/>
        <v>39.22</v>
      </c>
      <c r="K204" s="24" t="s">
        <v>475</v>
      </c>
      <c r="L204" s="25">
        <f>+J204</f>
        <v>39.22</v>
      </c>
    </row>
    <row r="205" spans="1:12">
      <c r="A205" s="27">
        <v>23</v>
      </c>
      <c r="B205" s="45">
        <v>200940351</v>
      </c>
      <c r="C205" s="56" t="s">
        <v>193</v>
      </c>
      <c r="D205" s="24">
        <v>3.1</v>
      </c>
      <c r="E205" s="24">
        <v>5.61</v>
      </c>
      <c r="F205" s="66">
        <v>2.78</v>
      </c>
      <c r="G205" s="24">
        <v>0.23</v>
      </c>
      <c r="H205" s="24">
        <v>0</v>
      </c>
      <c r="I205" s="24">
        <v>2.25</v>
      </c>
      <c r="J205" s="24">
        <f t="shared" si="14"/>
        <v>13.97</v>
      </c>
      <c r="K205" s="24" t="s">
        <v>475</v>
      </c>
      <c r="L205" s="25">
        <f t="shared" ref="L205:L212" si="16">+J205</f>
        <v>13.97</v>
      </c>
    </row>
    <row r="206" spans="1:12">
      <c r="A206" s="27">
        <v>24</v>
      </c>
      <c r="B206" s="45">
        <v>200940362</v>
      </c>
      <c r="C206" s="58" t="s">
        <v>194</v>
      </c>
      <c r="D206" s="24">
        <v>1.35</v>
      </c>
      <c r="E206" s="24">
        <v>1.3</v>
      </c>
      <c r="F206" s="66">
        <v>1</v>
      </c>
      <c r="G206" s="24">
        <v>0</v>
      </c>
      <c r="H206" s="24">
        <v>0.6</v>
      </c>
      <c r="I206" s="24">
        <v>2.9</v>
      </c>
      <c r="J206" s="24">
        <f t="shared" si="14"/>
        <v>7.15</v>
      </c>
      <c r="K206" s="24" t="s">
        <v>475</v>
      </c>
      <c r="L206" s="25">
        <f t="shared" si="16"/>
        <v>7.15</v>
      </c>
    </row>
    <row r="207" spans="1:12">
      <c r="A207" s="27">
        <v>25</v>
      </c>
      <c r="B207" s="45">
        <v>200940369</v>
      </c>
      <c r="C207" s="56" t="s">
        <v>195</v>
      </c>
      <c r="D207" s="24">
        <v>2.65</v>
      </c>
      <c r="E207" s="24">
        <v>5.46</v>
      </c>
      <c r="F207" s="66">
        <v>0</v>
      </c>
      <c r="G207" s="24">
        <v>0</v>
      </c>
      <c r="H207" s="24">
        <v>0</v>
      </c>
      <c r="I207" s="24">
        <v>1.25</v>
      </c>
      <c r="J207" s="24">
        <f t="shared" si="14"/>
        <v>9.36</v>
      </c>
      <c r="K207" s="24" t="s">
        <v>475</v>
      </c>
      <c r="L207" s="25">
        <f t="shared" si="16"/>
        <v>9.36</v>
      </c>
    </row>
    <row r="208" spans="1:12">
      <c r="A208" s="27">
        <v>26</v>
      </c>
      <c r="B208" s="45">
        <v>200940429</v>
      </c>
      <c r="C208" s="56" t="s">
        <v>196</v>
      </c>
      <c r="D208" s="24">
        <v>2.8</v>
      </c>
      <c r="E208" s="24">
        <v>4.75</v>
      </c>
      <c r="F208" s="66">
        <v>0.75</v>
      </c>
      <c r="G208" s="24">
        <v>0</v>
      </c>
      <c r="H208" s="24">
        <v>0</v>
      </c>
      <c r="I208" s="24">
        <v>2.7</v>
      </c>
      <c r="J208" s="24">
        <f t="shared" si="14"/>
        <v>11</v>
      </c>
      <c r="K208" s="24" t="s">
        <v>475</v>
      </c>
      <c r="L208" s="25">
        <f t="shared" si="16"/>
        <v>11</v>
      </c>
    </row>
    <row r="209" spans="1:12">
      <c r="A209" s="27">
        <v>27</v>
      </c>
      <c r="B209" s="57">
        <v>200940430</v>
      </c>
      <c r="C209" s="60" t="s">
        <v>197</v>
      </c>
      <c r="D209" s="24">
        <v>6.1</v>
      </c>
      <c r="E209" s="24">
        <v>7.47</v>
      </c>
      <c r="F209" s="66">
        <v>3.33</v>
      </c>
      <c r="G209" s="24">
        <v>0.9</v>
      </c>
      <c r="H209" s="24">
        <v>0</v>
      </c>
      <c r="I209" s="24">
        <v>5</v>
      </c>
      <c r="J209" s="24">
        <f t="shared" si="14"/>
        <v>22.799999999999997</v>
      </c>
      <c r="K209" s="24" t="s">
        <v>475</v>
      </c>
      <c r="L209" s="25">
        <f t="shared" si="16"/>
        <v>22.799999999999997</v>
      </c>
    </row>
    <row r="210" spans="1:12">
      <c r="A210" s="27">
        <v>28</v>
      </c>
      <c r="B210" s="45">
        <v>200940506</v>
      </c>
      <c r="C210" s="56" t="s">
        <v>198</v>
      </c>
      <c r="D210" s="24">
        <v>6.7</v>
      </c>
      <c r="E210" s="24">
        <v>5.58</v>
      </c>
      <c r="F210" s="66">
        <v>3.2629999999999999</v>
      </c>
      <c r="G210" s="24">
        <v>1.35</v>
      </c>
      <c r="H210" s="24">
        <v>0</v>
      </c>
      <c r="I210" s="24">
        <v>3.9</v>
      </c>
      <c r="J210" s="24">
        <f t="shared" si="14"/>
        <v>20.792999999999999</v>
      </c>
      <c r="K210" s="24" t="s">
        <v>475</v>
      </c>
      <c r="L210" s="25">
        <f t="shared" si="16"/>
        <v>20.792999999999999</v>
      </c>
    </row>
    <row r="211" spans="1:12">
      <c r="A211" s="27">
        <v>29</v>
      </c>
      <c r="B211" s="57">
        <v>200940516</v>
      </c>
      <c r="C211" s="58" t="s">
        <v>199</v>
      </c>
      <c r="D211" s="24">
        <v>3.1</v>
      </c>
      <c r="E211" s="24">
        <v>4.7699999999999996</v>
      </c>
      <c r="F211" s="66">
        <v>0.93</v>
      </c>
      <c r="G211" s="24">
        <v>0.23</v>
      </c>
      <c r="H211" s="24">
        <v>0</v>
      </c>
      <c r="I211" s="24">
        <v>5</v>
      </c>
      <c r="J211" s="24">
        <f t="shared" si="14"/>
        <v>14.03</v>
      </c>
      <c r="K211" s="24" t="s">
        <v>475</v>
      </c>
      <c r="L211" s="25">
        <f t="shared" si="16"/>
        <v>14.03</v>
      </c>
    </row>
    <row r="212" spans="1:12">
      <c r="A212" s="27">
        <v>30</v>
      </c>
      <c r="B212" s="45">
        <v>200940519</v>
      </c>
      <c r="C212" s="56" t="s">
        <v>200</v>
      </c>
      <c r="D212" s="24">
        <v>3.3</v>
      </c>
      <c r="E212" s="24">
        <v>3.32</v>
      </c>
      <c r="F212" s="66">
        <v>3.6</v>
      </c>
      <c r="G212" s="24">
        <v>7.4999999999999997E-2</v>
      </c>
      <c r="H212" s="24">
        <v>0</v>
      </c>
      <c r="I212" s="24">
        <v>4.25</v>
      </c>
      <c r="J212" s="24">
        <f t="shared" si="14"/>
        <v>14.545000000000002</v>
      </c>
      <c r="K212" s="24" t="s">
        <v>475</v>
      </c>
      <c r="L212" s="25">
        <f t="shared" si="16"/>
        <v>14.545000000000002</v>
      </c>
    </row>
    <row r="213" spans="1:12">
      <c r="A213" s="27">
        <v>31</v>
      </c>
      <c r="B213" s="45">
        <v>200940521</v>
      </c>
      <c r="C213" s="56" t="s">
        <v>201</v>
      </c>
      <c r="D213" s="24">
        <v>4.9000000000000004</v>
      </c>
      <c r="E213" s="24">
        <v>11.7</v>
      </c>
      <c r="F213" s="66">
        <v>6.55</v>
      </c>
      <c r="G213" s="24">
        <v>8.5</v>
      </c>
      <c r="H213" s="24">
        <v>11.09</v>
      </c>
      <c r="I213" s="24">
        <v>4.5</v>
      </c>
      <c r="J213" s="24">
        <f t="shared" si="14"/>
        <v>47.24</v>
      </c>
      <c r="K213" s="24">
        <v>11.55</v>
      </c>
      <c r="L213" s="25">
        <f t="shared" si="15"/>
        <v>58.790000000000006</v>
      </c>
    </row>
    <row r="214" spans="1:12">
      <c r="A214" s="27">
        <v>32</v>
      </c>
      <c r="B214" s="57">
        <v>200940523</v>
      </c>
      <c r="C214" s="60" t="s">
        <v>202</v>
      </c>
      <c r="D214" s="24">
        <v>1.95</v>
      </c>
      <c r="E214" s="24">
        <v>2.02</v>
      </c>
      <c r="F214" s="66">
        <v>3.47</v>
      </c>
      <c r="G214" s="24">
        <v>0</v>
      </c>
      <c r="H214" s="24">
        <v>0</v>
      </c>
      <c r="I214" s="24">
        <v>5</v>
      </c>
      <c r="J214" s="24">
        <f t="shared" si="14"/>
        <v>12.44</v>
      </c>
      <c r="K214" s="24" t="s">
        <v>475</v>
      </c>
      <c r="L214" s="25">
        <f>+J214</f>
        <v>12.44</v>
      </c>
    </row>
    <row r="215" spans="1:12">
      <c r="A215" s="27">
        <v>33</v>
      </c>
      <c r="B215" s="45">
        <v>200940739</v>
      </c>
      <c r="C215" s="56" t="s">
        <v>203</v>
      </c>
      <c r="D215" s="24">
        <v>3.4</v>
      </c>
      <c r="E215" s="24">
        <v>6.65</v>
      </c>
      <c r="F215" s="66">
        <v>2.4300000000000002</v>
      </c>
      <c r="G215" s="24">
        <v>0</v>
      </c>
      <c r="H215" s="24">
        <v>0</v>
      </c>
      <c r="I215" s="24">
        <v>5</v>
      </c>
      <c r="J215" s="24">
        <f t="shared" si="14"/>
        <v>17.48</v>
      </c>
      <c r="K215" s="24" t="s">
        <v>475</v>
      </c>
      <c r="L215" s="25">
        <f t="shared" ref="L215:L218" si="17">+J215</f>
        <v>17.48</v>
      </c>
    </row>
    <row r="216" spans="1:12">
      <c r="A216" s="27">
        <v>34</v>
      </c>
      <c r="B216" s="45">
        <v>200941008</v>
      </c>
      <c r="C216" s="59" t="s">
        <v>204</v>
      </c>
      <c r="D216" s="24">
        <v>3.25</v>
      </c>
      <c r="E216" s="24">
        <v>4.63</v>
      </c>
      <c r="F216" s="66">
        <v>2.76</v>
      </c>
      <c r="G216" s="24">
        <v>0</v>
      </c>
      <c r="H216" s="24">
        <v>0</v>
      </c>
      <c r="I216" s="24">
        <v>3.15</v>
      </c>
      <c r="J216" s="24">
        <f t="shared" si="14"/>
        <v>13.79</v>
      </c>
      <c r="K216" s="24" t="s">
        <v>475</v>
      </c>
      <c r="L216" s="25">
        <f t="shared" si="17"/>
        <v>13.79</v>
      </c>
    </row>
    <row r="217" spans="1:12">
      <c r="A217" s="27">
        <v>35</v>
      </c>
      <c r="B217" s="45">
        <v>200941435</v>
      </c>
      <c r="C217" s="59" t="s">
        <v>205</v>
      </c>
      <c r="D217" s="24">
        <v>4.5999999999999996</v>
      </c>
      <c r="E217" s="24">
        <v>5.27</v>
      </c>
      <c r="F217" s="66">
        <v>0</v>
      </c>
      <c r="G217" s="24">
        <v>0</v>
      </c>
      <c r="H217" s="24">
        <v>0</v>
      </c>
      <c r="I217" s="24">
        <v>2.6</v>
      </c>
      <c r="J217" s="24">
        <f t="shared" si="14"/>
        <v>12.469999999999999</v>
      </c>
      <c r="K217" s="24" t="s">
        <v>475</v>
      </c>
      <c r="L217" s="25">
        <f t="shared" si="17"/>
        <v>12.469999999999999</v>
      </c>
    </row>
    <row r="218" spans="1:12">
      <c r="A218" s="27">
        <v>36</v>
      </c>
      <c r="B218" s="45">
        <v>200941436</v>
      </c>
      <c r="C218" s="56" t="s">
        <v>206</v>
      </c>
      <c r="D218" s="24">
        <v>1.5</v>
      </c>
      <c r="E218" s="24">
        <v>3.06</v>
      </c>
      <c r="F218" s="66">
        <v>1.98</v>
      </c>
      <c r="G218" s="24">
        <v>0.98</v>
      </c>
      <c r="H218" s="24">
        <v>2.7</v>
      </c>
      <c r="I218" s="24">
        <v>4.0999999999999996</v>
      </c>
      <c r="J218" s="24">
        <f t="shared" si="14"/>
        <v>14.32</v>
      </c>
      <c r="K218" s="24" t="s">
        <v>475</v>
      </c>
      <c r="L218" s="25">
        <f t="shared" si="17"/>
        <v>14.32</v>
      </c>
    </row>
    <row r="219" spans="1:12">
      <c r="A219" s="27">
        <v>37</v>
      </c>
      <c r="B219" s="57">
        <v>200941438</v>
      </c>
      <c r="C219" s="60" t="s">
        <v>207</v>
      </c>
      <c r="D219" s="24">
        <v>6.1</v>
      </c>
      <c r="E219" s="24">
        <v>9.82</v>
      </c>
      <c r="F219" s="66">
        <v>10.53</v>
      </c>
      <c r="G219" s="24">
        <v>7.5</v>
      </c>
      <c r="H219" s="24">
        <v>11.97</v>
      </c>
      <c r="I219" s="24">
        <v>4.0999999999999996</v>
      </c>
      <c r="J219" s="24">
        <f t="shared" si="14"/>
        <v>50.02</v>
      </c>
      <c r="K219" s="24">
        <v>12.3</v>
      </c>
      <c r="L219" s="25">
        <f t="shared" si="15"/>
        <v>62.320000000000007</v>
      </c>
    </row>
    <row r="220" spans="1:12">
      <c r="A220" s="27">
        <v>38</v>
      </c>
      <c r="B220" s="45">
        <v>200941680</v>
      </c>
      <c r="C220" s="60" t="s">
        <v>208</v>
      </c>
      <c r="D220" s="24">
        <v>4.75</v>
      </c>
      <c r="E220" s="24">
        <v>10.75</v>
      </c>
      <c r="F220" s="66">
        <v>10.98</v>
      </c>
      <c r="G220" s="24">
        <v>9.23</v>
      </c>
      <c r="H220" s="24">
        <v>9.67</v>
      </c>
      <c r="I220" s="24">
        <v>4.75</v>
      </c>
      <c r="J220" s="24">
        <f t="shared" si="14"/>
        <v>50.129999999999995</v>
      </c>
      <c r="K220" s="24">
        <v>12.7</v>
      </c>
      <c r="L220" s="25">
        <f t="shared" si="15"/>
        <v>62.83</v>
      </c>
    </row>
    <row r="221" spans="1:12">
      <c r="A221" s="27">
        <v>39</v>
      </c>
      <c r="B221" s="45">
        <v>200941794</v>
      </c>
      <c r="C221" s="56" t="s">
        <v>209</v>
      </c>
      <c r="D221" s="24">
        <v>8.35</v>
      </c>
      <c r="E221" s="24">
        <v>8.06</v>
      </c>
      <c r="F221" s="66">
        <v>6.26</v>
      </c>
      <c r="G221" s="24">
        <v>6.47</v>
      </c>
      <c r="H221" s="24">
        <v>3.3</v>
      </c>
      <c r="I221" s="24">
        <v>4.8</v>
      </c>
      <c r="J221" s="24">
        <f t="shared" si="14"/>
        <v>37.24</v>
      </c>
      <c r="K221" s="24" t="s">
        <v>475</v>
      </c>
      <c r="L221" s="25">
        <f>+J221</f>
        <v>37.24</v>
      </c>
    </row>
    <row r="222" spans="1:12">
      <c r="A222" s="27">
        <v>40</v>
      </c>
      <c r="B222" s="45">
        <v>200941891</v>
      </c>
      <c r="C222" s="60" t="s">
        <v>210</v>
      </c>
      <c r="D222" s="24">
        <v>2.2000000000000002</v>
      </c>
      <c r="E222" s="24">
        <v>4.96</v>
      </c>
      <c r="F222" s="66">
        <v>6.78</v>
      </c>
      <c r="G222" s="24">
        <v>3.07</v>
      </c>
      <c r="H222" s="24">
        <v>0</v>
      </c>
      <c r="I222" s="24">
        <v>4.4000000000000004</v>
      </c>
      <c r="J222" s="24">
        <f t="shared" si="14"/>
        <v>21.41</v>
      </c>
      <c r="K222" s="24" t="s">
        <v>475</v>
      </c>
      <c r="L222" s="25">
        <f t="shared" ref="L222:L244" si="18">+J222</f>
        <v>21.41</v>
      </c>
    </row>
    <row r="223" spans="1:12">
      <c r="A223" s="27">
        <v>41</v>
      </c>
      <c r="B223" s="45">
        <v>200941910</v>
      </c>
      <c r="C223" s="56" t="s">
        <v>211</v>
      </c>
      <c r="D223" s="24">
        <v>3.7</v>
      </c>
      <c r="E223" s="24">
        <v>3.04</v>
      </c>
      <c r="F223" s="66">
        <v>0.91</v>
      </c>
      <c r="G223" s="24">
        <v>0.9</v>
      </c>
      <c r="H223" s="24">
        <v>0</v>
      </c>
      <c r="I223" s="24">
        <v>4.5</v>
      </c>
      <c r="J223" s="24">
        <f t="shared" si="14"/>
        <v>13.05</v>
      </c>
      <c r="K223" s="24" t="s">
        <v>475</v>
      </c>
      <c r="L223" s="25">
        <f t="shared" si="18"/>
        <v>13.05</v>
      </c>
    </row>
    <row r="224" spans="1:12">
      <c r="A224" s="27">
        <v>42</v>
      </c>
      <c r="B224" s="45">
        <v>200942019</v>
      </c>
      <c r="C224" s="56" t="s">
        <v>212</v>
      </c>
      <c r="D224" s="24">
        <v>3.1</v>
      </c>
      <c r="E224" s="24">
        <v>2.02</v>
      </c>
      <c r="F224" s="66">
        <v>1.75</v>
      </c>
      <c r="G224" s="24">
        <v>0.45</v>
      </c>
      <c r="H224" s="24">
        <v>0</v>
      </c>
      <c r="I224" s="24">
        <v>4.5</v>
      </c>
      <c r="J224" s="24">
        <f t="shared" si="14"/>
        <v>11.82</v>
      </c>
      <c r="K224" s="24" t="s">
        <v>475</v>
      </c>
      <c r="L224" s="25">
        <f t="shared" si="18"/>
        <v>11.82</v>
      </c>
    </row>
    <row r="225" spans="1:12">
      <c r="A225" s="27">
        <v>43</v>
      </c>
      <c r="B225" s="45">
        <v>200942151</v>
      </c>
      <c r="C225" s="56" t="s">
        <v>213</v>
      </c>
      <c r="D225" s="24">
        <v>2.7</v>
      </c>
      <c r="E225" s="24">
        <v>4.88</v>
      </c>
      <c r="F225" s="66">
        <v>1.18</v>
      </c>
      <c r="G225" s="24">
        <v>0.23</v>
      </c>
      <c r="H225" s="24">
        <v>0</v>
      </c>
      <c r="I225" s="24">
        <v>2.4</v>
      </c>
      <c r="J225" s="24">
        <f t="shared" si="14"/>
        <v>11.39</v>
      </c>
      <c r="K225" s="24" t="s">
        <v>475</v>
      </c>
      <c r="L225" s="25">
        <f t="shared" si="18"/>
        <v>11.39</v>
      </c>
    </row>
    <row r="226" spans="1:12">
      <c r="A226" s="27">
        <v>44</v>
      </c>
      <c r="B226" s="45">
        <v>200942666</v>
      </c>
      <c r="C226" s="56" t="s">
        <v>214</v>
      </c>
      <c r="D226" s="24">
        <v>3.25</v>
      </c>
      <c r="E226" s="24">
        <v>4.42</v>
      </c>
      <c r="F226" s="66">
        <v>3.21</v>
      </c>
      <c r="G226" s="24">
        <v>1.73</v>
      </c>
      <c r="H226" s="24">
        <v>0</v>
      </c>
      <c r="I226" s="24">
        <v>4.5</v>
      </c>
      <c r="J226" s="24">
        <f t="shared" si="14"/>
        <v>17.11</v>
      </c>
      <c r="K226" s="24" t="s">
        <v>475</v>
      </c>
      <c r="L226" s="25">
        <f t="shared" si="18"/>
        <v>17.11</v>
      </c>
    </row>
    <row r="227" spans="1:12">
      <c r="A227" s="27">
        <v>45</v>
      </c>
      <c r="B227" s="45">
        <v>200942804</v>
      </c>
      <c r="C227" s="59" t="s">
        <v>215</v>
      </c>
      <c r="D227" s="24">
        <v>3.25</v>
      </c>
      <c r="E227" s="24">
        <v>3.92</v>
      </c>
      <c r="F227" s="66">
        <v>2.2799999999999998</v>
      </c>
      <c r="G227" s="24">
        <v>0.45</v>
      </c>
      <c r="H227" s="24">
        <v>0</v>
      </c>
      <c r="I227" s="24">
        <v>4.8</v>
      </c>
      <c r="J227" s="24">
        <f t="shared" si="14"/>
        <v>14.7</v>
      </c>
      <c r="K227" s="24" t="s">
        <v>475</v>
      </c>
      <c r="L227" s="25">
        <f t="shared" si="18"/>
        <v>14.7</v>
      </c>
    </row>
    <row r="228" spans="1:12">
      <c r="A228" s="27">
        <v>46</v>
      </c>
      <c r="B228" s="45">
        <v>200942806</v>
      </c>
      <c r="C228" s="59" t="s">
        <v>216</v>
      </c>
      <c r="D228" s="24">
        <v>3.1</v>
      </c>
      <c r="E228" s="24">
        <v>2.91</v>
      </c>
      <c r="F228" s="66">
        <v>0.6</v>
      </c>
      <c r="G228" s="24">
        <v>0</v>
      </c>
      <c r="H228" s="24">
        <v>0</v>
      </c>
      <c r="I228" s="24">
        <v>2.0499999999999998</v>
      </c>
      <c r="J228" s="24">
        <f t="shared" si="14"/>
        <v>8.66</v>
      </c>
      <c r="K228" s="24" t="s">
        <v>475</v>
      </c>
      <c r="L228" s="25">
        <f t="shared" si="18"/>
        <v>8.66</v>
      </c>
    </row>
    <row r="229" spans="1:12">
      <c r="A229" s="27">
        <v>47</v>
      </c>
      <c r="B229" s="45">
        <v>200942915</v>
      </c>
      <c r="C229" s="59" t="s">
        <v>217</v>
      </c>
      <c r="D229" s="24">
        <v>3.4</v>
      </c>
      <c r="E229" s="24">
        <v>5.81</v>
      </c>
      <c r="F229" s="66">
        <v>3.27</v>
      </c>
      <c r="G229" s="24">
        <v>0</v>
      </c>
      <c r="H229" s="24">
        <v>0</v>
      </c>
      <c r="I229" s="24">
        <v>2.9</v>
      </c>
      <c r="J229" s="24">
        <f t="shared" si="14"/>
        <v>15.38</v>
      </c>
      <c r="K229" s="24" t="s">
        <v>475</v>
      </c>
      <c r="L229" s="25">
        <f t="shared" si="18"/>
        <v>15.38</v>
      </c>
    </row>
    <row r="230" spans="1:12">
      <c r="A230" s="27">
        <v>48</v>
      </c>
      <c r="B230" s="57">
        <v>200942930</v>
      </c>
      <c r="C230" s="60" t="s">
        <v>218</v>
      </c>
      <c r="D230" s="24">
        <v>5.2</v>
      </c>
      <c r="E230" s="24">
        <v>3.98</v>
      </c>
      <c r="F230" s="66">
        <v>1.49</v>
      </c>
      <c r="G230" s="24">
        <v>0</v>
      </c>
      <c r="H230" s="24">
        <v>1.2</v>
      </c>
      <c r="I230" s="24">
        <v>4</v>
      </c>
      <c r="J230" s="24">
        <f t="shared" si="14"/>
        <v>15.870000000000001</v>
      </c>
      <c r="K230" s="24" t="s">
        <v>475</v>
      </c>
      <c r="L230" s="25">
        <f t="shared" si="18"/>
        <v>15.870000000000001</v>
      </c>
    </row>
    <row r="231" spans="1:12">
      <c r="A231" s="27">
        <v>49</v>
      </c>
      <c r="B231" s="45">
        <v>200942987</v>
      </c>
      <c r="C231" s="56" t="s">
        <v>219</v>
      </c>
      <c r="D231" s="24">
        <v>3.4</v>
      </c>
      <c r="E231" s="24">
        <v>2.64</v>
      </c>
      <c r="F231" s="66">
        <v>0.91</v>
      </c>
      <c r="G231" s="24">
        <v>0</v>
      </c>
      <c r="H231" s="24">
        <v>0</v>
      </c>
      <c r="I231" s="24">
        <v>3.5</v>
      </c>
      <c r="J231" s="24">
        <f t="shared" si="14"/>
        <v>10.450000000000001</v>
      </c>
      <c r="K231" s="24" t="s">
        <v>475</v>
      </c>
      <c r="L231" s="25">
        <f t="shared" si="18"/>
        <v>10.450000000000001</v>
      </c>
    </row>
    <row r="232" spans="1:12">
      <c r="A232" s="27">
        <v>50</v>
      </c>
      <c r="B232" s="45">
        <v>200943116</v>
      </c>
      <c r="C232" s="56" t="s">
        <v>220</v>
      </c>
      <c r="D232" s="24">
        <v>5.65</v>
      </c>
      <c r="E232" s="24">
        <v>5.35</v>
      </c>
      <c r="F232" s="66">
        <v>3.02</v>
      </c>
      <c r="G232" s="24">
        <v>0</v>
      </c>
      <c r="H232" s="24">
        <v>0</v>
      </c>
      <c r="I232" s="24">
        <v>2.25</v>
      </c>
      <c r="J232" s="24">
        <f t="shared" si="14"/>
        <v>16.27</v>
      </c>
      <c r="K232" s="24" t="s">
        <v>475</v>
      </c>
      <c r="L232" s="25">
        <f t="shared" si="18"/>
        <v>16.27</v>
      </c>
    </row>
    <row r="233" spans="1:12">
      <c r="A233" s="27">
        <v>51</v>
      </c>
      <c r="B233" s="45">
        <v>200943121</v>
      </c>
      <c r="C233" s="56" t="s">
        <v>221</v>
      </c>
      <c r="D233" s="24">
        <v>2.4</v>
      </c>
      <c r="E233" s="24">
        <v>4.46</v>
      </c>
      <c r="F233" s="66">
        <v>3.66</v>
      </c>
      <c r="G233" s="24">
        <v>0.45</v>
      </c>
      <c r="H233" s="24">
        <v>0</v>
      </c>
      <c r="I233" s="24">
        <v>3.75</v>
      </c>
      <c r="J233" s="24">
        <f t="shared" si="14"/>
        <v>14.72</v>
      </c>
      <c r="K233" s="24" t="s">
        <v>475</v>
      </c>
      <c r="L233" s="25">
        <f t="shared" si="18"/>
        <v>14.72</v>
      </c>
    </row>
    <row r="234" spans="1:12">
      <c r="A234" s="27">
        <v>52</v>
      </c>
      <c r="B234" s="45">
        <v>200943122</v>
      </c>
      <c r="C234" s="56" t="s">
        <v>222</v>
      </c>
      <c r="D234" s="24">
        <v>2.85</v>
      </c>
      <c r="E234" s="24">
        <v>5.61</v>
      </c>
      <c r="F234" s="66">
        <v>3.88</v>
      </c>
      <c r="G234" s="24">
        <v>0.23</v>
      </c>
      <c r="H234" s="24">
        <v>0</v>
      </c>
      <c r="I234" s="24">
        <v>3.75</v>
      </c>
      <c r="J234" s="24">
        <f t="shared" si="14"/>
        <v>16.32</v>
      </c>
      <c r="K234" s="24" t="s">
        <v>475</v>
      </c>
      <c r="L234" s="25">
        <f t="shared" si="18"/>
        <v>16.32</v>
      </c>
    </row>
    <row r="235" spans="1:12">
      <c r="A235" s="27">
        <v>53</v>
      </c>
      <c r="B235" s="45">
        <v>200943128</v>
      </c>
      <c r="C235" s="56" t="s">
        <v>223</v>
      </c>
      <c r="D235" s="24">
        <v>3.4</v>
      </c>
      <c r="E235" s="24">
        <v>1.86</v>
      </c>
      <c r="F235" s="66">
        <v>1.51</v>
      </c>
      <c r="G235" s="24">
        <v>0</v>
      </c>
      <c r="H235" s="24">
        <v>0</v>
      </c>
      <c r="I235" s="24">
        <v>3.5</v>
      </c>
      <c r="J235" s="24">
        <f t="shared" si="14"/>
        <v>10.27</v>
      </c>
      <c r="K235" s="24" t="s">
        <v>475</v>
      </c>
      <c r="L235" s="25">
        <f t="shared" si="18"/>
        <v>10.27</v>
      </c>
    </row>
    <row r="236" spans="1:12">
      <c r="A236" s="27">
        <v>54</v>
      </c>
      <c r="B236" s="45">
        <v>200943314</v>
      </c>
      <c r="C236" s="56" t="s">
        <v>224</v>
      </c>
      <c r="D236" s="24">
        <v>2.8</v>
      </c>
      <c r="E236" s="24">
        <v>3.46</v>
      </c>
      <c r="F236" s="66">
        <v>1.33</v>
      </c>
      <c r="G236" s="24">
        <v>0</v>
      </c>
      <c r="H236" s="24">
        <v>0</v>
      </c>
      <c r="I236" s="24">
        <v>2.2999999999999998</v>
      </c>
      <c r="J236" s="24">
        <f t="shared" si="14"/>
        <v>9.89</v>
      </c>
      <c r="K236" s="24" t="s">
        <v>475</v>
      </c>
      <c r="L236" s="25">
        <f t="shared" si="18"/>
        <v>9.89</v>
      </c>
    </row>
    <row r="237" spans="1:12">
      <c r="A237" s="27">
        <v>55</v>
      </c>
      <c r="B237" s="45">
        <v>200943330</v>
      </c>
      <c r="C237" s="56" t="s">
        <v>225</v>
      </c>
      <c r="D237" s="24">
        <v>1.65</v>
      </c>
      <c r="E237" s="24">
        <v>0.78</v>
      </c>
      <c r="F237" s="66">
        <v>1.18</v>
      </c>
      <c r="G237" s="24">
        <v>0</v>
      </c>
      <c r="H237" s="24">
        <v>0</v>
      </c>
      <c r="I237" s="24">
        <v>1.2</v>
      </c>
      <c r="J237" s="24">
        <f t="shared" si="14"/>
        <v>4.8100000000000005</v>
      </c>
      <c r="K237" s="24" t="s">
        <v>475</v>
      </c>
      <c r="L237" s="25">
        <f t="shared" si="18"/>
        <v>4.8100000000000005</v>
      </c>
    </row>
    <row r="238" spans="1:12">
      <c r="A238" s="27">
        <v>56</v>
      </c>
      <c r="B238" s="57">
        <v>200943368</v>
      </c>
      <c r="C238" s="60" t="s">
        <v>226</v>
      </c>
      <c r="D238" s="24">
        <v>3.4</v>
      </c>
      <c r="E238" s="24">
        <v>5.75</v>
      </c>
      <c r="F238" s="66">
        <v>2.65</v>
      </c>
      <c r="G238" s="24">
        <v>0.23</v>
      </c>
      <c r="H238" s="24">
        <v>0</v>
      </c>
      <c r="I238" s="24">
        <v>3.25</v>
      </c>
      <c r="J238" s="24">
        <f t="shared" si="14"/>
        <v>15.28</v>
      </c>
      <c r="K238" s="24" t="s">
        <v>475</v>
      </c>
      <c r="L238" s="25">
        <f t="shared" si="18"/>
        <v>15.28</v>
      </c>
    </row>
    <row r="239" spans="1:12">
      <c r="A239" s="27">
        <v>57</v>
      </c>
      <c r="B239" s="45">
        <v>200943645</v>
      </c>
      <c r="C239" s="60" t="s">
        <v>227</v>
      </c>
      <c r="D239" s="24">
        <v>3.7</v>
      </c>
      <c r="E239" s="24">
        <v>6.01</v>
      </c>
      <c r="F239" s="66">
        <v>3.15</v>
      </c>
      <c r="G239" s="24">
        <v>2.48</v>
      </c>
      <c r="H239" s="24">
        <v>0</v>
      </c>
      <c r="I239" s="24">
        <v>4.25</v>
      </c>
      <c r="J239" s="24">
        <f t="shared" si="14"/>
        <v>19.59</v>
      </c>
      <c r="K239" s="24" t="s">
        <v>475</v>
      </c>
      <c r="L239" s="25">
        <f t="shared" si="18"/>
        <v>19.59</v>
      </c>
    </row>
    <row r="240" spans="1:12">
      <c r="A240" s="27">
        <v>58</v>
      </c>
      <c r="B240" s="45">
        <v>200943703</v>
      </c>
      <c r="C240" s="60" t="s">
        <v>228</v>
      </c>
      <c r="D240" s="24">
        <v>4.3</v>
      </c>
      <c r="E240" s="24">
        <v>7.11</v>
      </c>
      <c r="F240" s="66">
        <v>6.03</v>
      </c>
      <c r="G240" s="24">
        <v>6.75</v>
      </c>
      <c r="H240" s="24">
        <v>7.02</v>
      </c>
      <c r="I240" s="24">
        <v>4.5</v>
      </c>
      <c r="J240" s="24">
        <f t="shared" si="14"/>
        <v>35.71</v>
      </c>
      <c r="K240" s="24" t="s">
        <v>475</v>
      </c>
      <c r="L240" s="25">
        <f t="shared" si="18"/>
        <v>35.71</v>
      </c>
    </row>
    <row r="241" spans="1:12">
      <c r="A241" s="27">
        <v>59</v>
      </c>
      <c r="B241" s="45">
        <v>200944051</v>
      </c>
      <c r="C241" s="60" t="s">
        <v>229</v>
      </c>
      <c r="D241" s="24">
        <v>3.25</v>
      </c>
      <c r="E241" s="24">
        <v>5.31</v>
      </c>
      <c r="F241" s="66">
        <v>0.6</v>
      </c>
      <c r="G241" s="24">
        <v>0</v>
      </c>
      <c r="H241" s="24">
        <v>0</v>
      </c>
      <c r="I241" s="24">
        <v>1</v>
      </c>
      <c r="J241" s="24">
        <f t="shared" si="14"/>
        <v>10.16</v>
      </c>
      <c r="K241" s="24" t="s">
        <v>475</v>
      </c>
      <c r="L241" s="25">
        <f t="shared" si="18"/>
        <v>10.16</v>
      </c>
    </row>
    <row r="242" spans="1:12">
      <c r="A242" s="27">
        <v>60</v>
      </c>
      <c r="B242" s="45">
        <v>200944223</v>
      </c>
      <c r="C242" s="60" t="s">
        <v>230</v>
      </c>
      <c r="D242" s="24">
        <v>3.7</v>
      </c>
      <c r="E242" s="24">
        <v>2.2200000000000002</v>
      </c>
      <c r="F242" s="66">
        <v>0</v>
      </c>
      <c r="G242" s="24">
        <v>0</v>
      </c>
      <c r="H242" s="24">
        <v>0</v>
      </c>
      <c r="I242" s="24">
        <v>1.05</v>
      </c>
      <c r="J242" s="24">
        <f t="shared" si="14"/>
        <v>6.9700000000000006</v>
      </c>
      <c r="K242" s="24" t="s">
        <v>475</v>
      </c>
      <c r="L242" s="25">
        <f t="shared" si="18"/>
        <v>6.9700000000000006</v>
      </c>
    </row>
    <row r="243" spans="1:12">
      <c r="A243" s="27">
        <v>61</v>
      </c>
      <c r="B243" s="45">
        <v>200944768</v>
      </c>
      <c r="C243" s="60" t="s">
        <v>231</v>
      </c>
      <c r="D243" s="24">
        <v>2.8</v>
      </c>
      <c r="E243" s="24">
        <v>5.72</v>
      </c>
      <c r="F243" s="66">
        <v>2.2400000000000002</v>
      </c>
      <c r="G243" s="24">
        <v>0</v>
      </c>
      <c r="H243" s="24">
        <v>0</v>
      </c>
      <c r="I243" s="24">
        <v>4</v>
      </c>
      <c r="J243" s="24">
        <f t="shared" si="14"/>
        <v>14.760000000000002</v>
      </c>
      <c r="K243" s="24" t="s">
        <v>475</v>
      </c>
      <c r="L243" s="25">
        <f t="shared" si="18"/>
        <v>14.760000000000002</v>
      </c>
    </row>
    <row r="244" spans="1:12">
      <c r="A244" s="27">
        <v>62</v>
      </c>
      <c r="B244" s="45">
        <v>200944831</v>
      </c>
      <c r="C244" s="56" t="s">
        <v>232</v>
      </c>
      <c r="D244" s="24">
        <v>3.4</v>
      </c>
      <c r="E244" s="24">
        <v>5.49</v>
      </c>
      <c r="F244" s="66">
        <v>3.92</v>
      </c>
      <c r="G244" s="24">
        <v>0.47</v>
      </c>
      <c r="H244" s="24">
        <v>1.9</v>
      </c>
      <c r="I244" s="24">
        <v>4.5</v>
      </c>
      <c r="J244" s="24">
        <f t="shared" si="14"/>
        <v>19.68</v>
      </c>
      <c r="K244" s="24" t="s">
        <v>475</v>
      </c>
      <c r="L244" s="25">
        <f t="shared" si="18"/>
        <v>19.68</v>
      </c>
    </row>
    <row r="245" spans="1:12">
      <c r="A245" s="29"/>
      <c r="B245" s="29"/>
      <c r="C245" s="30"/>
      <c r="D245" s="31"/>
      <c r="E245" s="31"/>
      <c r="F245" s="31"/>
      <c r="G245" s="31"/>
      <c r="H245" s="31"/>
      <c r="I245" s="31"/>
      <c r="J245" s="31"/>
      <c r="K245" s="31"/>
      <c r="L245" s="32"/>
    </row>
    <row r="246" spans="1:12">
      <c r="A246" s="29"/>
      <c r="B246" s="29"/>
      <c r="C246" s="30"/>
      <c r="D246" s="31"/>
      <c r="E246" s="31"/>
      <c r="F246" s="31"/>
      <c r="G246" s="31"/>
      <c r="H246" s="31"/>
      <c r="I246" s="31"/>
      <c r="J246" s="31"/>
      <c r="K246" s="31"/>
      <c r="L246" s="32"/>
    </row>
    <row r="247" spans="1:12" ht="17.25" thickBot="1">
      <c r="A247" s="33"/>
      <c r="B247" s="33"/>
      <c r="C247" s="34"/>
      <c r="D247" s="31"/>
      <c r="E247" s="31"/>
      <c r="F247" s="31"/>
      <c r="G247" s="31"/>
      <c r="H247" s="35"/>
      <c r="I247" s="35"/>
      <c r="J247" s="35"/>
      <c r="K247" s="9"/>
      <c r="L247" s="32"/>
    </row>
    <row r="248" spans="1:12">
      <c r="H248" s="100" t="s">
        <v>450</v>
      </c>
      <c r="I248" s="100"/>
      <c r="J248" s="100"/>
      <c r="L248" s="1"/>
    </row>
    <row r="249" spans="1:12">
      <c r="D249" s="36"/>
      <c r="H249" s="100" t="s">
        <v>21</v>
      </c>
      <c r="I249" s="100"/>
      <c r="J249" s="100"/>
      <c r="L249" s="1"/>
    </row>
    <row r="250" spans="1:12">
      <c r="D250" s="36"/>
      <c r="H250" s="100" t="s">
        <v>448</v>
      </c>
      <c r="I250" s="100"/>
      <c r="J250" s="100"/>
      <c r="L250" s="1"/>
    </row>
    <row r="256" spans="1:12" ht="17.25" thickBot="1">
      <c r="A256" s="1" t="s">
        <v>0</v>
      </c>
      <c r="I256" s="3"/>
    </row>
    <row r="257" spans="1:12">
      <c r="A257" s="1" t="s">
        <v>1</v>
      </c>
      <c r="F257" s="4"/>
      <c r="G257" s="5"/>
      <c r="H257" s="6"/>
      <c r="I257" s="7"/>
    </row>
    <row r="258" spans="1:12">
      <c r="A258" s="8" t="s">
        <v>2</v>
      </c>
      <c r="B258" s="9"/>
      <c r="E258" s="7"/>
      <c r="F258" s="10"/>
      <c r="G258" s="11"/>
      <c r="H258" s="12"/>
      <c r="I258" s="7"/>
    </row>
    <row r="259" spans="1:12" ht="17.25" thickBot="1">
      <c r="A259" s="13" t="s">
        <v>3</v>
      </c>
      <c r="B259" s="9"/>
      <c r="E259" s="7"/>
      <c r="F259" s="10"/>
      <c r="G259" s="11"/>
      <c r="H259" s="12"/>
      <c r="I259" s="7"/>
    </row>
    <row r="260" spans="1:12" ht="17.25" thickBot="1">
      <c r="A260" s="14" t="s">
        <v>22</v>
      </c>
      <c r="B260" s="15"/>
      <c r="C260" s="16"/>
      <c r="E260" s="7"/>
      <c r="F260" s="17"/>
      <c r="G260" s="18"/>
      <c r="H260" s="19"/>
      <c r="I260" s="7"/>
    </row>
    <row r="261" spans="1:12">
      <c r="A261" s="8"/>
      <c r="B261" s="9"/>
      <c r="E261" s="7"/>
      <c r="I261" s="3"/>
    </row>
    <row r="262" spans="1:12">
      <c r="A262" s="1" t="s">
        <v>91</v>
      </c>
      <c r="B262" s="9"/>
      <c r="C262" s="20" t="s">
        <v>233</v>
      </c>
      <c r="E262" s="7"/>
      <c r="I262" s="3"/>
    </row>
    <row r="263" spans="1:12">
      <c r="A263" s="1" t="s">
        <v>4</v>
      </c>
      <c r="C263" s="20" t="s">
        <v>445</v>
      </c>
      <c r="I263" s="3"/>
    </row>
    <row r="264" spans="1:12">
      <c r="A264" s="1" t="s">
        <v>5</v>
      </c>
      <c r="C264" s="20" t="s">
        <v>449</v>
      </c>
    </row>
    <row r="265" spans="1:12">
      <c r="A265" s="21"/>
      <c r="B265" s="21"/>
      <c r="C265" s="21"/>
      <c r="D265" s="21"/>
      <c r="E265" s="21"/>
      <c r="F265" s="21"/>
      <c r="G265" s="21"/>
      <c r="H265" s="21"/>
      <c r="I265" s="21"/>
      <c r="J265" s="21"/>
    </row>
    <row r="266" spans="1:12">
      <c r="A266" s="1"/>
      <c r="C266" s="22" t="s">
        <v>6</v>
      </c>
      <c r="D266" s="22" t="s">
        <v>93</v>
      </c>
      <c r="E266" s="22" t="s">
        <v>93</v>
      </c>
      <c r="F266" s="22" t="s">
        <v>93</v>
      </c>
      <c r="G266" s="22" t="s">
        <v>93</v>
      </c>
      <c r="H266" s="22" t="s">
        <v>93</v>
      </c>
      <c r="I266" s="22" t="s">
        <v>94</v>
      </c>
      <c r="J266" s="22" t="s">
        <v>8</v>
      </c>
      <c r="K266" s="22" t="s">
        <v>7</v>
      </c>
      <c r="L266" s="22" t="s">
        <v>9</v>
      </c>
    </row>
    <row r="267" spans="1:12">
      <c r="A267" s="22" t="s">
        <v>10</v>
      </c>
      <c r="B267" s="22" t="s">
        <v>11</v>
      </c>
      <c r="C267" s="22" t="s">
        <v>12</v>
      </c>
      <c r="D267" s="22" t="s">
        <v>13</v>
      </c>
      <c r="E267" s="22" t="s">
        <v>14</v>
      </c>
      <c r="F267" s="22" t="s">
        <v>15</v>
      </c>
      <c r="G267" s="22" t="s">
        <v>16</v>
      </c>
      <c r="H267" s="22" t="s">
        <v>17</v>
      </c>
      <c r="I267" s="22" t="s">
        <v>95</v>
      </c>
      <c r="J267" s="22" t="s">
        <v>18</v>
      </c>
      <c r="K267" s="22" t="s">
        <v>19</v>
      </c>
      <c r="L267" s="22" t="s">
        <v>20</v>
      </c>
    </row>
    <row r="268" spans="1:12">
      <c r="A268" s="23">
        <v>1</v>
      </c>
      <c r="B268" s="45">
        <v>200741726</v>
      </c>
      <c r="C268" s="56" t="s">
        <v>235</v>
      </c>
      <c r="D268" s="66">
        <v>8.9499999999999993</v>
      </c>
      <c r="E268" s="24">
        <v>6.19</v>
      </c>
      <c r="F268" s="66">
        <v>3.6</v>
      </c>
      <c r="G268" s="24">
        <v>0.08</v>
      </c>
      <c r="H268" s="24">
        <v>0</v>
      </c>
      <c r="I268" s="24">
        <v>3.25</v>
      </c>
      <c r="J268" s="24">
        <f>+I268+H268+G268+F268+E268+D268</f>
        <v>22.07</v>
      </c>
      <c r="K268" s="24" t="s">
        <v>475</v>
      </c>
      <c r="L268" s="25">
        <f>+J268</f>
        <v>22.07</v>
      </c>
    </row>
    <row r="269" spans="1:12">
      <c r="A269" s="26">
        <v>2</v>
      </c>
      <c r="B269" s="45">
        <v>200741810</v>
      </c>
      <c r="C269" s="60" t="s">
        <v>236</v>
      </c>
      <c r="D269" s="66">
        <v>4.6500000000000004</v>
      </c>
      <c r="E269" s="24">
        <v>5.46</v>
      </c>
      <c r="F269" s="66">
        <v>7.01</v>
      </c>
      <c r="G269" s="24">
        <v>4.55</v>
      </c>
      <c r="H269" s="24">
        <v>0</v>
      </c>
      <c r="I269" s="24">
        <v>1.25</v>
      </c>
      <c r="J269" s="24">
        <f t="shared" ref="J269:J333" si="19">+I269+H269+G269+F269+E269+D269</f>
        <v>22.92</v>
      </c>
      <c r="K269" s="24" t="s">
        <v>475</v>
      </c>
      <c r="L269" s="25">
        <f t="shared" ref="L269:L270" si="20">+J269</f>
        <v>22.92</v>
      </c>
    </row>
    <row r="270" spans="1:12">
      <c r="A270" s="27">
        <v>3</v>
      </c>
      <c r="B270" s="45">
        <v>200741839</v>
      </c>
      <c r="C270" s="56" t="s">
        <v>237</v>
      </c>
      <c r="D270" s="66">
        <v>7.2</v>
      </c>
      <c r="E270" s="24">
        <v>5.72</v>
      </c>
      <c r="F270" s="66">
        <v>5.03</v>
      </c>
      <c r="G270" s="24">
        <v>1.82</v>
      </c>
      <c r="H270" s="24">
        <v>0</v>
      </c>
      <c r="I270" s="24">
        <v>3</v>
      </c>
      <c r="J270" s="24">
        <f t="shared" si="19"/>
        <v>22.77</v>
      </c>
      <c r="K270" s="24" t="s">
        <v>475</v>
      </c>
      <c r="L270" s="25">
        <f t="shared" si="20"/>
        <v>22.77</v>
      </c>
    </row>
    <row r="271" spans="1:12">
      <c r="A271" s="26">
        <v>4</v>
      </c>
      <c r="B271" s="45">
        <v>200741842</v>
      </c>
      <c r="C271" s="56" t="s">
        <v>238</v>
      </c>
      <c r="D271" s="95">
        <v>9</v>
      </c>
      <c r="E271" s="79">
        <v>8.35</v>
      </c>
      <c r="F271" s="95">
        <v>7.85</v>
      </c>
      <c r="G271" s="79">
        <v>7.1</v>
      </c>
      <c r="H271" s="79">
        <v>9.39</v>
      </c>
      <c r="I271" s="79">
        <v>5</v>
      </c>
      <c r="J271" s="79">
        <f t="shared" si="19"/>
        <v>46.690000000000005</v>
      </c>
      <c r="K271" s="79">
        <v>8.8000000000000007</v>
      </c>
      <c r="L271" s="80">
        <f t="shared" ref="L271:L326" si="21">+K271+J271</f>
        <v>55.490000000000009</v>
      </c>
    </row>
    <row r="272" spans="1:12">
      <c r="A272" s="26">
        <v>5</v>
      </c>
      <c r="B272" s="45">
        <v>200741850</v>
      </c>
      <c r="C272" s="56" t="s">
        <v>239</v>
      </c>
      <c r="D272" s="66">
        <v>4.45</v>
      </c>
      <c r="E272" s="24">
        <v>5.28</v>
      </c>
      <c r="F272" s="66">
        <v>6.26</v>
      </c>
      <c r="G272" s="24">
        <v>6.12</v>
      </c>
      <c r="H272" s="24">
        <v>0</v>
      </c>
      <c r="I272" s="24">
        <v>4</v>
      </c>
      <c r="J272" s="24">
        <f t="shared" si="19"/>
        <v>26.110000000000003</v>
      </c>
      <c r="K272" s="24" t="s">
        <v>475</v>
      </c>
      <c r="L272" s="25">
        <f>+J272</f>
        <v>26.110000000000003</v>
      </c>
    </row>
    <row r="273" spans="1:12">
      <c r="A273" s="26">
        <v>6</v>
      </c>
      <c r="B273" s="45">
        <v>200840073</v>
      </c>
      <c r="C273" s="56" t="s">
        <v>240</v>
      </c>
      <c r="D273" s="66">
        <v>8.0500000000000007</v>
      </c>
      <c r="E273" s="24">
        <v>10.6</v>
      </c>
      <c r="F273" s="66">
        <v>5.01</v>
      </c>
      <c r="G273" s="24">
        <v>9.23</v>
      </c>
      <c r="H273" s="24">
        <v>13.25</v>
      </c>
      <c r="I273" s="24">
        <v>4.5</v>
      </c>
      <c r="J273" s="24">
        <f t="shared" si="19"/>
        <v>50.64</v>
      </c>
      <c r="K273" s="24">
        <v>8.4</v>
      </c>
      <c r="L273" s="25">
        <f t="shared" si="21"/>
        <v>59.04</v>
      </c>
    </row>
    <row r="274" spans="1:12">
      <c r="A274" s="26">
        <v>7</v>
      </c>
      <c r="B274" s="45">
        <v>200840076</v>
      </c>
      <c r="C274" s="56" t="s">
        <v>241</v>
      </c>
      <c r="D274" s="66">
        <v>8.9499999999999993</v>
      </c>
      <c r="E274" s="24">
        <v>11.06</v>
      </c>
      <c r="F274" s="66">
        <v>7.53</v>
      </c>
      <c r="G274" s="24">
        <v>4.5999999999999996</v>
      </c>
      <c r="H274" s="24">
        <v>12.24</v>
      </c>
      <c r="I274" s="24">
        <v>4.5</v>
      </c>
      <c r="J274" s="24">
        <f t="shared" si="19"/>
        <v>48.88000000000001</v>
      </c>
      <c r="K274" s="24">
        <v>9.1999999999999993</v>
      </c>
      <c r="L274" s="25">
        <f t="shared" si="21"/>
        <v>58.080000000000013</v>
      </c>
    </row>
    <row r="275" spans="1:12">
      <c r="A275" s="26">
        <v>8</v>
      </c>
      <c r="B275" s="45">
        <v>200840177</v>
      </c>
      <c r="C275" s="56" t="s">
        <v>242</v>
      </c>
      <c r="D275" s="66">
        <v>4.1500000000000004</v>
      </c>
      <c r="E275" s="24">
        <v>4.38</v>
      </c>
      <c r="F275" s="66">
        <v>2.23</v>
      </c>
      <c r="G275" s="24">
        <v>1.55</v>
      </c>
      <c r="H275" s="24">
        <v>4.9000000000000004</v>
      </c>
      <c r="I275" s="24">
        <v>4.5</v>
      </c>
      <c r="J275" s="24">
        <f t="shared" si="19"/>
        <v>21.71</v>
      </c>
      <c r="K275" s="24" t="s">
        <v>475</v>
      </c>
      <c r="L275" s="25">
        <f>+J275</f>
        <v>21.71</v>
      </c>
    </row>
    <row r="276" spans="1:12">
      <c r="A276" s="26">
        <v>9</v>
      </c>
      <c r="B276" s="45">
        <v>200840205</v>
      </c>
      <c r="C276" s="60" t="s">
        <v>243</v>
      </c>
      <c r="D276" s="66">
        <v>6.55</v>
      </c>
      <c r="E276" s="24">
        <v>8.8000000000000007</v>
      </c>
      <c r="F276" s="66">
        <v>10.78</v>
      </c>
      <c r="G276" s="24">
        <v>7.1</v>
      </c>
      <c r="H276" s="24">
        <v>11.73</v>
      </c>
      <c r="I276" s="24">
        <v>5</v>
      </c>
      <c r="J276" s="24">
        <f t="shared" si="19"/>
        <v>49.959999999999994</v>
      </c>
      <c r="K276" s="24">
        <v>11.25</v>
      </c>
      <c r="L276" s="25">
        <f t="shared" si="21"/>
        <v>61.209999999999994</v>
      </c>
    </row>
    <row r="277" spans="1:12">
      <c r="A277" s="26">
        <v>10</v>
      </c>
      <c r="B277" s="45">
        <v>200840207</v>
      </c>
      <c r="C277" s="59" t="s">
        <v>244</v>
      </c>
      <c r="D277" s="66">
        <v>5.95</v>
      </c>
      <c r="E277" s="24">
        <v>5.96</v>
      </c>
      <c r="F277" s="66">
        <v>6.76</v>
      </c>
      <c r="G277" s="24">
        <v>4.37</v>
      </c>
      <c r="H277" s="24">
        <v>6.1</v>
      </c>
      <c r="I277" s="24">
        <v>4.5</v>
      </c>
      <c r="J277" s="24">
        <f t="shared" si="19"/>
        <v>33.64</v>
      </c>
      <c r="K277" s="24" t="s">
        <v>475</v>
      </c>
      <c r="L277" s="25">
        <f>+J277</f>
        <v>33.64</v>
      </c>
    </row>
    <row r="278" spans="1:12">
      <c r="A278" s="26">
        <v>11</v>
      </c>
      <c r="B278" s="45">
        <v>200840223</v>
      </c>
      <c r="C278" s="56" t="s">
        <v>245</v>
      </c>
      <c r="D278" s="66">
        <v>4.3</v>
      </c>
      <c r="E278" s="24">
        <v>6.13</v>
      </c>
      <c r="F278" s="66">
        <v>0</v>
      </c>
      <c r="G278" s="24">
        <v>0</v>
      </c>
      <c r="H278" s="28">
        <v>0</v>
      </c>
      <c r="I278" s="28">
        <v>2.75</v>
      </c>
      <c r="J278" s="24">
        <f t="shared" si="19"/>
        <v>13.18</v>
      </c>
      <c r="K278" s="24" t="s">
        <v>475</v>
      </c>
      <c r="L278" s="25">
        <f t="shared" ref="L278:L279" si="22">+J278</f>
        <v>13.18</v>
      </c>
    </row>
    <row r="279" spans="1:12">
      <c r="A279" s="26">
        <v>12</v>
      </c>
      <c r="B279" s="45">
        <v>200840267</v>
      </c>
      <c r="C279" s="56" t="s">
        <v>246</v>
      </c>
      <c r="D279" s="66">
        <v>6.85</v>
      </c>
      <c r="E279" s="24">
        <v>5.4</v>
      </c>
      <c r="F279" s="66">
        <v>5.98</v>
      </c>
      <c r="G279" s="24">
        <v>4.58</v>
      </c>
      <c r="H279" s="28">
        <v>5.03</v>
      </c>
      <c r="I279" s="28">
        <v>4</v>
      </c>
      <c r="J279" s="24">
        <f t="shared" si="19"/>
        <v>31.840000000000003</v>
      </c>
      <c r="K279" s="24" t="s">
        <v>475</v>
      </c>
      <c r="L279" s="25">
        <f t="shared" si="22"/>
        <v>31.840000000000003</v>
      </c>
    </row>
    <row r="280" spans="1:12">
      <c r="A280" s="26">
        <v>13</v>
      </c>
      <c r="B280" s="45">
        <v>200840270</v>
      </c>
      <c r="C280" s="56" t="s">
        <v>247</v>
      </c>
      <c r="D280" s="66">
        <v>5.05</v>
      </c>
      <c r="E280" s="24">
        <v>7.76</v>
      </c>
      <c r="F280" s="66">
        <v>2.76</v>
      </c>
      <c r="G280" s="24">
        <v>1.58</v>
      </c>
      <c r="H280" s="28">
        <v>0</v>
      </c>
      <c r="I280" s="28">
        <v>5</v>
      </c>
      <c r="J280" s="24">
        <f t="shared" si="19"/>
        <v>22.150000000000002</v>
      </c>
      <c r="K280" s="24" t="s">
        <v>475</v>
      </c>
      <c r="L280" s="25">
        <f>+J280</f>
        <v>22.150000000000002</v>
      </c>
    </row>
    <row r="281" spans="1:12">
      <c r="A281" s="23">
        <v>14</v>
      </c>
      <c r="B281" s="45">
        <v>200842067</v>
      </c>
      <c r="C281" s="60" t="s">
        <v>248</v>
      </c>
      <c r="D281" s="66">
        <v>8.65</v>
      </c>
      <c r="E281" s="24">
        <v>12.78</v>
      </c>
      <c r="F281" s="66">
        <v>11.35</v>
      </c>
      <c r="G281" s="24">
        <v>10.15</v>
      </c>
      <c r="H281" s="28">
        <v>13.38</v>
      </c>
      <c r="I281" s="28">
        <v>5</v>
      </c>
      <c r="J281" s="24">
        <f t="shared" si="19"/>
        <v>61.31</v>
      </c>
      <c r="K281" s="24">
        <v>14.47</v>
      </c>
      <c r="L281" s="25">
        <f t="shared" si="21"/>
        <v>75.78</v>
      </c>
    </row>
    <row r="282" spans="1:12">
      <c r="A282" s="23">
        <v>15</v>
      </c>
      <c r="B282" s="45">
        <v>200842086</v>
      </c>
      <c r="C282" s="56" t="s">
        <v>249</v>
      </c>
      <c r="D282" s="66">
        <v>9.4</v>
      </c>
      <c r="E282" s="24">
        <v>9.15</v>
      </c>
      <c r="F282" s="66">
        <v>11.81</v>
      </c>
      <c r="G282" s="24">
        <v>8.15</v>
      </c>
      <c r="H282" s="24">
        <v>10.99</v>
      </c>
      <c r="I282" s="24">
        <v>5</v>
      </c>
      <c r="J282" s="24">
        <f t="shared" si="19"/>
        <v>54.5</v>
      </c>
      <c r="K282" s="24">
        <v>9.85</v>
      </c>
      <c r="L282" s="25">
        <f t="shared" si="21"/>
        <v>64.349999999999994</v>
      </c>
    </row>
    <row r="283" spans="1:12">
      <c r="A283" s="23">
        <v>16</v>
      </c>
      <c r="B283" s="45">
        <v>200842104</v>
      </c>
      <c r="C283" s="56" t="s">
        <v>250</v>
      </c>
      <c r="D283" s="66">
        <v>5.35</v>
      </c>
      <c r="E283" s="24">
        <v>7.24</v>
      </c>
      <c r="F283" s="66">
        <v>5.35</v>
      </c>
      <c r="G283" s="24">
        <v>3.15</v>
      </c>
      <c r="H283" s="24">
        <v>8.8800000000000008</v>
      </c>
      <c r="I283" s="24">
        <v>4</v>
      </c>
      <c r="J283" s="24">
        <f t="shared" si="19"/>
        <v>33.970000000000006</v>
      </c>
      <c r="K283" s="24" t="s">
        <v>475</v>
      </c>
      <c r="L283" s="25">
        <f>+J283</f>
        <v>33.970000000000006</v>
      </c>
    </row>
    <row r="284" spans="1:12">
      <c r="A284" s="23">
        <v>17</v>
      </c>
      <c r="B284" s="45">
        <v>200842109</v>
      </c>
      <c r="C284" s="60" t="s">
        <v>251</v>
      </c>
      <c r="D284" s="66">
        <v>4.5999999999999996</v>
      </c>
      <c r="E284" s="24">
        <v>3.98</v>
      </c>
      <c r="F284" s="66">
        <v>3.36</v>
      </c>
      <c r="G284" s="24">
        <v>2.12</v>
      </c>
      <c r="H284" s="24">
        <v>3.2</v>
      </c>
      <c r="I284" s="24">
        <v>5</v>
      </c>
      <c r="J284" s="24">
        <f t="shared" si="19"/>
        <v>22.259999999999998</v>
      </c>
      <c r="K284" s="24" t="s">
        <v>475</v>
      </c>
      <c r="L284" s="25">
        <f>+J284</f>
        <v>22.259999999999998</v>
      </c>
    </row>
    <row r="285" spans="1:12">
      <c r="A285" s="27">
        <v>18</v>
      </c>
      <c r="B285" s="45">
        <v>200842114</v>
      </c>
      <c r="C285" s="59" t="s">
        <v>252</v>
      </c>
      <c r="D285" s="66">
        <v>10.3</v>
      </c>
      <c r="E285" s="24">
        <v>10.82</v>
      </c>
      <c r="F285" s="66">
        <v>13.48</v>
      </c>
      <c r="G285" s="24">
        <v>10.220000000000001</v>
      </c>
      <c r="H285" s="24">
        <v>12.17</v>
      </c>
      <c r="I285" s="24">
        <v>4.25</v>
      </c>
      <c r="J285" s="24">
        <f t="shared" si="19"/>
        <v>61.240000000000009</v>
      </c>
      <c r="K285" s="24">
        <v>14.77</v>
      </c>
      <c r="L285" s="25">
        <f t="shared" si="21"/>
        <v>76.010000000000005</v>
      </c>
    </row>
    <row r="286" spans="1:12">
      <c r="A286" s="27">
        <v>19</v>
      </c>
      <c r="B286" s="45">
        <v>200842115</v>
      </c>
      <c r="C286" s="56" t="s">
        <v>253</v>
      </c>
      <c r="D286" s="66">
        <v>6.55</v>
      </c>
      <c r="E286" s="24">
        <v>8.5500000000000007</v>
      </c>
      <c r="F286" s="66">
        <v>7.63</v>
      </c>
      <c r="G286" s="24">
        <v>2.1800000000000002</v>
      </c>
      <c r="H286" s="24">
        <v>6.97</v>
      </c>
      <c r="I286" s="24">
        <v>4.25</v>
      </c>
      <c r="J286" s="24">
        <f t="shared" si="19"/>
        <v>36.129999999999995</v>
      </c>
      <c r="K286" s="24" t="s">
        <v>475</v>
      </c>
      <c r="L286" s="25">
        <f>+J286</f>
        <v>36.129999999999995</v>
      </c>
    </row>
    <row r="287" spans="1:12">
      <c r="A287" s="27">
        <v>20</v>
      </c>
      <c r="B287" s="45">
        <v>200842125</v>
      </c>
      <c r="C287" s="56" t="s">
        <v>254</v>
      </c>
      <c r="D287" s="66">
        <v>8.0500000000000007</v>
      </c>
      <c r="E287" s="24">
        <v>7.79</v>
      </c>
      <c r="F287" s="66">
        <v>0</v>
      </c>
      <c r="G287" s="24">
        <v>0</v>
      </c>
      <c r="H287" s="24">
        <v>0</v>
      </c>
      <c r="I287" s="24">
        <v>3.15</v>
      </c>
      <c r="J287" s="24">
        <f t="shared" si="19"/>
        <v>18.990000000000002</v>
      </c>
      <c r="K287" s="24" t="s">
        <v>475</v>
      </c>
      <c r="L287" s="25">
        <f t="shared" ref="L287:L289" si="23">+J287</f>
        <v>18.990000000000002</v>
      </c>
    </row>
    <row r="288" spans="1:12">
      <c r="A288" s="27">
        <v>21</v>
      </c>
      <c r="B288" s="45">
        <v>200842134</v>
      </c>
      <c r="C288" s="56" t="s">
        <v>255</v>
      </c>
      <c r="D288" s="66">
        <v>4.1500000000000004</v>
      </c>
      <c r="E288" s="24">
        <v>2.6</v>
      </c>
      <c r="F288" s="66">
        <v>2.8</v>
      </c>
      <c r="G288" s="24">
        <v>0</v>
      </c>
      <c r="H288" s="24">
        <v>1.88</v>
      </c>
      <c r="I288" s="24">
        <v>5</v>
      </c>
      <c r="J288" s="24">
        <f t="shared" si="19"/>
        <v>16.43</v>
      </c>
      <c r="K288" s="24" t="s">
        <v>475</v>
      </c>
      <c r="L288" s="25">
        <f t="shared" si="23"/>
        <v>16.43</v>
      </c>
    </row>
    <row r="289" spans="1:12">
      <c r="A289" s="27">
        <v>22</v>
      </c>
      <c r="B289" s="45">
        <v>200842427</v>
      </c>
      <c r="C289" s="56" t="s">
        <v>256</v>
      </c>
      <c r="D289" s="66">
        <v>5.8</v>
      </c>
      <c r="E289" s="24">
        <v>10.01</v>
      </c>
      <c r="F289" s="66">
        <v>7.63</v>
      </c>
      <c r="G289" s="24">
        <v>2.97</v>
      </c>
      <c r="H289" s="24">
        <v>0</v>
      </c>
      <c r="I289" s="24">
        <v>4</v>
      </c>
      <c r="J289" s="24">
        <f t="shared" si="19"/>
        <v>30.41</v>
      </c>
      <c r="K289" s="24" t="s">
        <v>475</v>
      </c>
      <c r="L289" s="25">
        <f t="shared" si="23"/>
        <v>30.41</v>
      </c>
    </row>
    <row r="290" spans="1:12">
      <c r="A290" s="27">
        <v>23</v>
      </c>
      <c r="B290" s="45">
        <v>200842440</v>
      </c>
      <c r="C290" s="56" t="s">
        <v>257</v>
      </c>
      <c r="D290" s="66">
        <v>12.1</v>
      </c>
      <c r="E290" s="24">
        <v>12.52</v>
      </c>
      <c r="F290" s="66">
        <v>12.96</v>
      </c>
      <c r="G290" s="24">
        <v>9.15</v>
      </c>
      <c r="H290" s="24">
        <v>11.32</v>
      </c>
      <c r="I290" s="24">
        <v>4.5</v>
      </c>
      <c r="J290" s="24">
        <f t="shared" si="19"/>
        <v>62.550000000000004</v>
      </c>
      <c r="K290" s="24">
        <v>14.97</v>
      </c>
      <c r="L290" s="25">
        <f t="shared" si="21"/>
        <v>77.52000000000001</v>
      </c>
    </row>
    <row r="291" spans="1:12">
      <c r="A291" s="27">
        <v>24</v>
      </c>
      <c r="B291" s="45">
        <v>200842447</v>
      </c>
      <c r="C291" s="56" t="s">
        <v>258</v>
      </c>
      <c r="D291" s="66">
        <v>4.95</v>
      </c>
      <c r="E291" s="24">
        <v>8.0500000000000007</v>
      </c>
      <c r="F291" s="66">
        <v>7.71</v>
      </c>
      <c r="G291" s="24">
        <v>7.5</v>
      </c>
      <c r="H291" s="24">
        <v>6.7</v>
      </c>
      <c r="I291" s="24">
        <v>4</v>
      </c>
      <c r="J291" s="24">
        <f t="shared" si="19"/>
        <v>38.910000000000004</v>
      </c>
      <c r="K291" s="24" t="s">
        <v>475</v>
      </c>
      <c r="L291" s="25">
        <f>+J291</f>
        <v>38.910000000000004</v>
      </c>
    </row>
    <row r="292" spans="1:12">
      <c r="A292" s="27">
        <v>25</v>
      </c>
      <c r="B292" s="45">
        <v>200842674</v>
      </c>
      <c r="C292" s="60" t="s">
        <v>259</v>
      </c>
      <c r="D292" s="66">
        <v>9.5500000000000007</v>
      </c>
      <c r="E292" s="24">
        <v>7.75</v>
      </c>
      <c r="F292" s="66">
        <v>10.71</v>
      </c>
      <c r="G292" s="24">
        <v>8.6999999999999993</v>
      </c>
      <c r="H292" s="24">
        <v>8.6</v>
      </c>
      <c r="I292" s="24">
        <v>5</v>
      </c>
      <c r="J292" s="24">
        <f t="shared" si="19"/>
        <v>50.31</v>
      </c>
      <c r="K292" s="24">
        <v>7.1</v>
      </c>
      <c r="L292" s="25">
        <f t="shared" si="21"/>
        <v>57.410000000000004</v>
      </c>
    </row>
    <row r="293" spans="1:12">
      <c r="A293" s="27">
        <v>26</v>
      </c>
      <c r="B293" s="45">
        <v>200843791</v>
      </c>
      <c r="C293" s="56" t="s">
        <v>260</v>
      </c>
      <c r="D293" s="66">
        <v>6.7</v>
      </c>
      <c r="E293" s="24">
        <v>4.95</v>
      </c>
      <c r="F293" s="66">
        <v>4.96</v>
      </c>
      <c r="G293" s="24">
        <v>0.9</v>
      </c>
      <c r="H293" s="24">
        <v>4.67</v>
      </c>
      <c r="I293" s="24">
        <v>4.25</v>
      </c>
      <c r="J293" s="24">
        <f t="shared" si="19"/>
        <v>26.43</v>
      </c>
      <c r="K293" s="24" t="s">
        <v>475</v>
      </c>
      <c r="L293" s="25">
        <f>+J293</f>
        <v>26.43</v>
      </c>
    </row>
    <row r="294" spans="1:12">
      <c r="A294" s="27">
        <v>27</v>
      </c>
      <c r="B294" s="45">
        <v>200940321</v>
      </c>
      <c r="C294" s="58" t="s">
        <v>261</v>
      </c>
      <c r="D294" s="66">
        <v>2.25</v>
      </c>
      <c r="E294" s="24">
        <v>2.8</v>
      </c>
      <c r="F294" s="66">
        <v>2.31</v>
      </c>
      <c r="G294" s="24">
        <v>0</v>
      </c>
      <c r="H294" s="24">
        <v>0</v>
      </c>
      <c r="I294" s="24">
        <v>3.25</v>
      </c>
      <c r="J294" s="24">
        <f t="shared" si="19"/>
        <v>10.61</v>
      </c>
      <c r="K294" s="24" t="s">
        <v>475</v>
      </c>
      <c r="L294" s="25">
        <f>+J294</f>
        <v>10.61</v>
      </c>
    </row>
    <row r="295" spans="1:12">
      <c r="A295" s="27">
        <v>28</v>
      </c>
      <c r="B295" s="57">
        <v>200940333</v>
      </c>
      <c r="C295" s="56" t="s">
        <v>262</v>
      </c>
      <c r="D295" s="66">
        <v>11.95</v>
      </c>
      <c r="E295" s="24">
        <v>11.61</v>
      </c>
      <c r="F295" s="66">
        <v>12.61</v>
      </c>
      <c r="G295" s="24">
        <v>8.31</v>
      </c>
      <c r="H295" s="24">
        <v>12.85</v>
      </c>
      <c r="I295" s="24">
        <v>5</v>
      </c>
      <c r="J295" s="24">
        <f t="shared" si="19"/>
        <v>62.33</v>
      </c>
      <c r="K295" s="24">
        <v>14.46</v>
      </c>
      <c r="L295" s="25">
        <f t="shared" si="21"/>
        <v>76.789999999999992</v>
      </c>
    </row>
    <row r="296" spans="1:12">
      <c r="A296" s="27">
        <v>29</v>
      </c>
      <c r="B296" s="45">
        <v>200940343</v>
      </c>
      <c r="C296" s="58" t="s">
        <v>263</v>
      </c>
      <c r="D296" s="66">
        <v>4.3</v>
      </c>
      <c r="E296" s="24">
        <v>8.8000000000000007</v>
      </c>
      <c r="F296" s="66">
        <v>6.31</v>
      </c>
      <c r="G296" s="24">
        <v>3.08</v>
      </c>
      <c r="H296" s="24">
        <v>9.7200000000000006</v>
      </c>
      <c r="I296" s="24">
        <v>5</v>
      </c>
      <c r="J296" s="24">
        <f t="shared" si="19"/>
        <v>37.209999999999994</v>
      </c>
      <c r="K296" s="24" t="s">
        <v>475</v>
      </c>
      <c r="L296" s="25">
        <f>+J296</f>
        <v>37.209999999999994</v>
      </c>
    </row>
    <row r="297" spans="1:12">
      <c r="A297" s="27">
        <v>30</v>
      </c>
      <c r="B297" s="45">
        <v>200940354</v>
      </c>
      <c r="C297" s="56" t="s">
        <v>264</v>
      </c>
      <c r="D297" s="66">
        <v>5.65</v>
      </c>
      <c r="E297" s="24">
        <v>6.36</v>
      </c>
      <c r="F297" s="66">
        <v>4.4000000000000004</v>
      </c>
      <c r="G297" s="24">
        <v>5.18</v>
      </c>
      <c r="H297" s="24">
        <v>9.7200000000000006</v>
      </c>
      <c r="I297" s="24">
        <v>4.5</v>
      </c>
      <c r="J297" s="24">
        <f t="shared" si="19"/>
        <v>35.809999999999995</v>
      </c>
      <c r="K297" s="24" t="s">
        <v>475</v>
      </c>
      <c r="L297" s="25">
        <f t="shared" ref="L297:L298" si="24">+J297</f>
        <v>35.809999999999995</v>
      </c>
    </row>
    <row r="298" spans="1:12">
      <c r="A298" s="27">
        <v>31</v>
      </c>
      <c r="B298" s="45">
        <v>200940364</v>
      </c>
      <c r="C298" s="60" t="s">
        <v>265</v>
      </c>
      <c r="D298" s="66">
        <v>7</v>
      </c>
      <c r="E298" s="24">
        <v>7.25</v>
      </c>
      <c r="F298" s="66">
        <v>4.5999999999999996</v>
      </c>
      <c r="G298" s="24">
        <v>0.83</v>
      </c>
      <c r="H298" s="24">
        <v>0</v>
      </c>
      <c r="I298" s="24">
        <v>4.1500000000000004</v>
      </c>
      <c r="J298" s="24">
        <f t="shared" si="19"/>
        <v>23.83</v>
      </c>
      <c r="K298" s="24" t="s">
        <v>475</v>
      </c>
      <c r="L298" s="25">
        <f t="shared" si="24"/>
        <v>23.83</v>
      </c>
    </row>
    <row r="299" spans="1:12">
      <c r="A299" s="27">
        <v>32</v>
      </c>
      <c r="B299" s="45">
        <v>200940366</v>
      </c>
      <c r="C299" s="56" t="s">
        <v>266</v>
      </c>
      <c r="D299" s="66">
        <v>8.1999999999999993</v>
      </c>
      <c r="E299" s="24">
        <v>12.02</v>
      </c>
      <c r="F299" s="66">
        <v>11.95</v>
      </c>
      <c r="G299" s="24">
        <v>8.33</v>
      </c>
      <c r="H299" s="24">
        <v>12.42</v>
      </c>
      <c r="I299" s="24">
        <v>5</v>
      </c>
      <c r="J299" s="24">
        <f t="shared" si="19"/>
        <v>57.92</v>
      </c>
      <c r="K299" s="24">
        <v>11.1</v>
      </c>
      <c r="L299" s="25">
        <f t="shared" si="21"/>
        <v>69.02</v>
      </c>
    </row>
    <row r="300" spans="1:12">
      <c r="A300" s="27">
        <v>33</v>
      </c>
      <c r="B300" s="45">
        <v>200940367</v>
      </c>
      <c r="C300" s="56" t="s">
        <v>267</v>
      </c>
      <c r="D300" s="66">
        <v>6.4</v>
      </c>
      <c r="E300" s="24">
        <v>5.81</v>
      </c>
      <c r="F300" s="66">
        <v>9.1</v>
      </c>
      <c r="G300" s="24">
        <v>6.15</v>
      </c>
      <c r="H300" s="24">
        <v>12.33</v>
      </c>
      <c r="I300" s="24">
        <v>5</v>
      </c>
      <c r="J300" s="24">
        <f t="shared" si="19"/>
        <v>44.79</v>
      </c>
      <c r="K300" s="24">
        <v>8.0500000000000007</v>
      </c>
      <c r="L300" s="25">
        <f t="shared" si="21"/>
        <v>52.84</v>
      </c>
    </row>
    <row r="301" spans="1:12">
      <c r="A301" s="27">
        <v>34</v>
      </c>
      <c r="B301" s="45">
        <v>200940368</v>
      </c>
      <c r="C301" s="56" t="s">
        <v>268</v>
      </c>
      <c r="D301" s="66">
        <v>11.35</v>
      </c>
      <c r="E301" s="24">
        <v>12.68</v>
      </c>
      <c r="F301" s="66">
        <v>10.51</v>
      </c>
      <c r="G301" s="24">
        <v>8.9</v>
      </c>
      <c r="H301" s="24">
        <v>11.22</v>
      </c>
      <c r="I301" s="24">
        <v>5</v>
      </c>
      <c r="J301" s="24">
        <f t="shared" si="19"/>
        <v>59.66</v>
      </c>
      <c r="K301" s="24">
        <v>11.8</v>
      </c>
      <c r="L301" s="25">
        <f t="shared" si="21"/>
        <v>71.459999999999994</v>
      </c>
    </row>
    <row r="302" spans="1:12">
      <c r="A302" s="27">
        <v>35</v>
      </c>
      <c r="B302" s="45">
        <v>200940370</v>
      </c>
      <c r="C302" s="58" t="s">
        <v>269</v>
      </c>
      <c r="D302" s="66">
        <v>2.8</v>
      </c>
      <c r="E302" s="24">
        <v>6.46</v>
      </c>
      <c r="F302" s="66">
        <v>4.66</v>
      </c>
      <c r="G302" s="24">
        <v>0.9</v>
      </c>
      <c r="H302" s="24">
        <v>4.3</v>
      </c>
      <c r="I302" s="24">
        <v>5</v>
      </c>
      <c r="J302" s="24">
        <f t="shared" si="19"/>
        <v>24.12</v>
      </c>
      <c r="K302" s="24" t="s">
        <v>475</v>
      </c>
      <c r="L302" s="25">
        <f>+J302</f>
        <v>24.12</v>
      </c>
    </row>
    <row r="303" spans="1:12">
      <c r="A303" s="27">
        <v>36</v>
      </c>
      <c r="B303" s="57">
        <v>200940431</v>
      </c>
      <c r="C303" s="60" t="s">
        <v>270</v>
      </c>
      <c r="D303" s="66">
        <v>8.0500000000000007</v>
      </c>
      <c r="E303" s="24">
        <v>10.89</v>
      </c>
      <c r="F303" s="66">
        <v>8.35</v>
      </c>
      <c r="G303" s="24">
        <v>3.77</v>
      </c>
      <c r="H303" s="24">
        <v>11.85</v>
      </c>
      <c r="I303" s="24">
        <v>5</v>
      </c>
      <c r="J303" s="24">
        <f t="shared" si="19"/>
        <v>47.91</v>
      </c>
      <c r="K303" s="24">
        <v>12.75</v>
      </c>
      <c r="L303" s="25">
        <f t="shared" si="21"/>
        <v>60.66</v>
      </c>
    </row>
    <row r="304" spans="1:12">
      <c r="A304" s="27">
        <v>37</v>
      </c>
      <c r="B304" s="45">
        <v>200940435</v>
      </c>
      <c r="C304" s="60" t="s">
        <v>271</v>
      </c>
      <c r="D304" s="66">
        <v>3.4</v>
      </c>
      <c r="E304" s="24">
        <v>7.83</v>
      </c>
      <c r="F304" s="66">
        <v>5.08</v>
      </c>
      <c r="G304" s="24">
        <v>5.42</v>
      </c>
      <c r="H304" s="24">
        <v>9.17</v>
      </c>
      <c r="I304" s="24">
        <v>5</v>
      </c>
      <c r="J304" s="24">
        <f t="shared" si="19"/>
        <v>35.9</v>
      </c>
      <c r="K304" s="24" t="s">
        <v>475</v>
      </c>
      <c r="L304" s="25">
        <f>+J304</f>
        <v>35.9</v>
      </c>
    </row>
    <row r="305" spans="1:12">
      <c r="A305" s="27">
        <v>38</v>
      </c>
      <c r="B305" s="57">
        <v>200940488</v>
      </c>
      <c r="C305" s="60" t="s">
        <v>272</v>
      </c>
      <c r="D305" s="66">
        <v>6.25</v>
      </c>
      <c r="E305" s="24">
        <v>7.41</v>
      </c>
      <c r="F305" s="66">
        <v>7</v>
      </c>
      <c r="G305" s="24">
        <v>1.2</v>
      </c>
      <c r="H305" s="24">
        <v>5.5</v>
      </c>
      <c r="I305" s="24">
        <v>5</v>
      </c>
      <c r="J305" s="24">
        <f t="shared" si="19"/>
        <v>32.36</v>
      </c>
      <c r="K305" s="24" t="s">
        <v>475</v>
      </c>
      <c r="L305" s="25">
        <f>+J305</f>
        <v>32.36</v>
      </c>
    </row>
    <row r="306" spans="1:12">
      <c r="A306" s="27">
        <v>39</v>
      </c>
      <c r="B306" s="57">
        <v>200940494</v>
      </c>
      <c r="C306" s="60" t="s">
        <v>273</v>
      </c>
      <c r="D306" s="66">
        <v>7.9</v>
      </c>
      <c r="E306" s="24">
        <v>11.15</v>
      </c>
      <c r="F306" s="66">
        <v>10.81</v>
      </c>
      <c r="G306" s="24">
        <v>8.75</v>
      </c>
      <c r="H306" s="24">
        <v>9.58</v>
      </c>
      <c r="I306" s="24">
        <v>5</v>
      </c>
      <c r="J306" s="24">
        <f t="shared" si="19"/>
        <v>53.19</v>
      </c>
      <c r="K306" s="24">
        <v>8.1</v>
      </c>
      <c r="L306" s="25">
        <f t="shared" si="21"/>
        <v>61.29</v>
      </c>
    </row>
    <row r="307" spans="1:12">
      <c r="A307" s="27">
        <v>40</v>
      </c>
      <c r="B307" s="45">
        <v>200940495</v>
      </c>
      <c r="C307" s="56" t="s">
        <v>274</v>
      </c>
      <c r="D307" s="66">
        <v>4.07</v>
      </c>
      <c r="E307" s="24">
        <v>9.33</v>
      </c>
      <c r="F307" s="66">
        <v>4.21</v>
      </c>
      <c r="G307" s="24">
        <v>0</v>
      </c>
      <c r="H307" s="24">
        <v>0</v>
      </c>
      <c r="I307" s="24">
        <v>3</v>
      </c>
      <c r="J307" s="24">
        <f t="shared" si="19"/>
        <v>20.61</v>
      </c>
      <c r="K307" s="24" t="s">
        <v>475</v>
      </c>
      <c r="L307" s="25">
        <f>+J307</f>
        <v>20.61</v>
      </c>
    </row>
    <row r="308" spans="1:12">
      <c r="A308" s="27">
        <v>41</v>
      </c>
      <c r="B308" s="57">
        <v>200940497</v>
      </c>
      <c r="C308" s="56" t="s">
        <v>275</v>
      </c>
      <c r="D308" s="66">
        <v>4.1500000000000004</v>
      </c>
      <c r="E308" s="24">
        <v>6.71</v>
      </c>
      <c r="F308" s="66">
        <v>5.1100000000000003</v>
      </c>
      <c r="G308" s="24">
        <v>0</v>
      </c>
      <c r="H308" s="24">
        <v>0</v>
      </c>
      <c r="I308" s="24">
        <v>2.5</v>
      </c>
      <c r="J308" s="24">
        <f t="shared" si="19"/>
        <v>18.47</v>
      </c>
      <c r="K308" s="24" t="s">
        <v>475</v>
      </c>
      <c r="L308" s="25">
        <f>+J308</f>
        <v>18.47</v>
      </c>
    </row>
    <row r="309" spans="1:12">
      <c r="A309" s="27">
        <v>42</v>
      </c>
      <c r="B309" s="45">
        <v>200940507</v>
      </c>
      <c r="C309" s="58" t="s">
        <v>276</v>
      </c>
      <c r="D309" s="66">
        <v>4.05</v>
      </c>
      <c r="E309" s="24">
        <v>9.93</v>
      </c>
      <c r="F309" s="66">
        <v>7.75</v>
      </c>
      <c r="G309" s="24">
        <v>7.97</v>
      </c>
      <c r="H309" s="24">
        <v>12.57</v>
      </c>
      <c r="I309" s="24">
        <v>5</v>
      </c>
      <c r="J309" s="24">
        <f t="shared" si="19"/>
        <v>47.269999999999996</v>
      </c>
      <c r="K309" s="24">
        <v>14.85</v>
      </c>
      <c r="L309" s="25">
        <f t="shared" si="21"/>
        <v>62.12</v>
      </c>
    </row>
    <row r="310" spans="1:12">
      <c r="A310" s="27">
        <v>43</v>
      </c>
      <c r="B310" s="45">
        <v>200940508</v>
      </c>
      <c r="C310" s="60" t="s">
        <v>277</v>
      </c>
      <c r="D310" s="66">
        <v>4.1500000000000004</v>
      </c>
      <c r="E310" s="24">
        <v>9.36</v>
      </c>
      <c r="F310" s="66">
        <v>6.35</v>
      </c>
      <c r="G310" s="24">
        <v>3.6</v>
      </c>
      <c r="H310" s="24">
        <v>9.35</v>
      </c>
      <c r="I310" s="24">
        <v>5</v>
      </c>
      <c r="J310" s="24">
        <f t="shared" si="19"/>
        <v>37.809999999999995</v>
      </c>
      <c r="K310" s="24" t="s">
        <v>475</v>
      </c>
      <c r="L310" s="25">
        <f>+J310</f>
        <v>37.809999999999995</v>
      </c>
    </row>
    <row r="311" spans="1:12">
      <c r="A311" s="27">
        <v>44</v>
      </c>
      <c r="B311" s="45">
        <v>200940529</v>
      </c>
      <c r="C311" s="56" t="s">
        <v>278</v>
      </c>
      <c r="D311" s="66">
        <v>11.5</v>
      </c>
      <c r="E311" s="24">
        <v>12.12</v>
      </c>
      <c r="F311" s="66">
        <v>12.01</v>
      </c>
      <c r="G311" s="24">
        <v>11.03</v>
      </c>
      <c r="H311" s="24">
        <v>10.119999999999999</v>
      </c>
      <c r="I311" s="24">
        <v>5</v>
      </c>
      <c r="J311" s="24">
        <f t="shared" si="19"/>
        <v>61.779999999999994</v>
      </c>
      <c r="K311" s="24">
        <v>14.35</v>
      </c>
      <c r="L311" s="25">
        <f t="shared" si="21"/>
        <v>76.13</v>
      </c>
    </row>
    <row r="312" spans="1:12">
      <c r="A312" s="27">
        <v>45</v>
      </c>
      <c r="B312" s="45">
        <v>200940533</v>
      </c>
      <c r="C312" s="56" t="s">
        <v>279</v>
      </c>
      <c r="D312" s="66">
        <v>3.85</v>
      </c>
      <c r="E312" s="24">
        <v>4.09</v>
      </c>
      <c r="F312" s="66">
        <v>0</v>
      </c>
      <c r="G312" s="24">
        <v>0</v>
      </c>
      <c r="H312" s="24">
        <v>0</v>
      </c>
      <c r="I312" s="24">
        <v>0</v>
      </c>
      <c r="J312" s="24">
        <f t="shared" si="19"/>
        <v>7.9399999999999995</v>
      </c>
      <c r="K312" s="24" t="s">
        <v>475</v>
      </c>
      <c r="L312" s="25">
        <f>+J312</f>
        <v>7.9399999999999995</v>
      </c>
    </row>
    <row r="313" spans="1:12">
      <c r="A313" s="27">
        <v>46</v>
      </c>
      <c r="B313" s="57">
        <v>200941310</v>
      </c>
      <c r="C313" s="56" t="s">
        <v>280</v>
      </c>
      <c r="D313" s="66">
        <v>3.55</v>
      </c>
      <c r="E313" s="24">
        <v>5.28</v>
      </c>
      <c r="F313" s="66">
        <v>1.7</v>
      </c>
      <c r="G313" s="24">
        <v>1.28</v>
      </c>
      <c r="H313" s="24">
        <v>4.45</v>
      </c>
      <c r="I313" s="24">
        <v>5</v>
      </c>
      <c r="J313" s="24">
        <f t="shared" si="19"/>
        <v>21.259999999999998</v>
      </c>
      <c r="K313" s="24" t="s">
        <v>475</v>
      </c>
      <c r="L313" s="25">
        <f t="shared" ref="L313:L325" si="25">+J313</f>
        <v>21.259999999999998</v>
      </c>
    </row>
    <row r="314" spans="1:12">
      <c r="A314" s="27">
        <v>47</v>
      </c>
      <c r="B314" s="45">
        <v>200941429</v>
      </c>
      <c r="C314" s="56" t="s">
        <v>281</v>
      </c>
      <c r="D314" s="66">
        <v>3.7</v>
      </c>
      <c r="E314" s="24">
        <v>7.23</v>
      </c>
      <c r="F314" s="66">
        <v>3.81</v>
      </c>
      <c r="G314" s="24">
        <v>3.45</v>
      </c>
      <c r="H314" s="24">
        <v>0</v>
      </c>
      <c r="I314" s="24">
        <v>4.5</v>
      </c>
      <c r="J314" s="24">
        <f t="shared" si="19"/>
        <v>22.69</v>
      </c>
      <c r="K314" s="24" t="s">
        <v>475</v>
      </c>
      <c r="L314" s="25">
        <f t="shared" si="25"/>
        <v>22.69</v>
      </c>
    </row>
    <row r="315" spans="1:12">
      <c r="A315" s="27">
        <v>48</v>
      </c>
      <c r="B315" s="45">
        <v>200941431</v>
      </c>
      <c r="C315" s="56" t="s">
        <v>282</v>
      </c>
      <c r="D315" s="66">
        <v>6.25</v>
      </c>
      <c r="E315" s="24">
        <v>6.85</v>
      </c>
      <c r="F315" s="66">
        <v>5.84</v>
      </c>
      <c r="G315" s="24">
        <v>2.7</v>
      </c>
      <c r="H315" s="24">
        <v>3</v>
      </c>
      <c r="I315" s="24">
        <v>4.5</v>
      </c>
      <c r="J315" s="24">
        <f t="shared" si="19"/>
        <v>29.14</v>
      </c>
      <c r="K315" s="24" t="s">
        <v>475</v>
      </c>
      <c r="L315" s="25">
        <f t="shared" si="25"/>
        <v>29.14</v>
      </c>
    </row>
    <row r="316" spans="1:12">
      <c r="A316" s="27">
        <v>49</v>
      </c>
      <c r="B316" s="45">
        <v>200942148</v>
      </c>
      <c r="C316" s="60" t="s">
        <v>283</v>
      </c>
      <c r="D316" s="66">
        <v>6.85</v>
      </c>
      <c r="E316" s="24">
        <v>7.08</v>
      </c>
      <c r="F316" s="66">
        <v>5.69</v>
      </c>
      <c r="G316" s="24">
        <v>3.82</v>
      </c>
      <c r="H316" s="24">
        <v>6.52</v>
      </c>
      <c r="I316" s="24">
        <v>4.5</v>
      </c>
      <c r="J316" s="24">
        <f t="shared" si="19"/>
        <v>34.46</v>
      </c>
      <c r="K316" s="24" t="s">
        <v>475</v>
      </c>
      <c r="L316" s="25">
        <f t="shared" si="25"/>
        <v>34.46</v>
      </c>
    </row>
    <row r="317" spans="1:12">
      <c r="A317" s="27">
        <v>50</v>
      </c>
      <c r="B317" s="45">
        <v>200942756</v>
      </c>
      <c r="C317" s="56" t="s">
        <v>284</v>
      </c>
      <c r="D317" s="66">
        <v>3.25</v>
      </c>
      <c r="E317" s="24">
        <v>4.04</v>
      </c>
      <c r="F317" s="66">
        <v>1.7</v>
      </c>
      <c r="G317" s="24">
        <v>0</v>
      </c>
      <c r="H317" s="24">
        <v>0</v>
      </c>
      <c r="I317" s="24">
        <v>3.5</v>
      </c>
      <c r="J317" s="24">
        <f t="shared" si="19"/>
        <v>12.49</v>
      </c>
      <c r="K317" s="24" t="s">
        <v>475</v>
      </c>
      <c r="L317" s="25">
        <f t="shared" si="25"/>
        <v>12.49</v>
      </c>
    </row>
    <row r="318" spans="1:12">
      <c r="A318" s="27">
        <v>51</v>
      </c>
      <c r="B318" s="57">
        <v>200942839</v>
      </c>
      <c r="C318" s="58" t="s">
        <v>285</v>
      </c>
      <c r="D318" s="66">
        <v>3.75</v>
      </c>
      <c r="E318" s="24">
        <v>6.23</v>
      </c>
      <c r="F318" s="66">
        <v>3.19</v>
      </c>
      <c r="G318" s="24">
        <v>1.37</v>
      </c>
      <c r="H318" s="24">
        <v>3.15</v>
      </c>
      <c r="I318" s="24">
        <v>4.25</v>
      </c>
      <c r="J318" s="24">
        <f t="shared" si="19"/>
        <v>21.939999999999998</v>
      </c>
      <c r="K318" s="24" t="s">
        <v>475</v>
      </c>
      <c r="L318" s="25">
        <f t="shared" si="25"/>
        <v>21.939999999999998</v>
      </c>
    </row>
    <row r="319" spans="1:12">
      <c r="A319" s="27">
        <v>52</v>
      </c>
      <c r="B319" s="45">
        <v>200942841</v>
      </c>
      <c r="C319" s="56" t="s">
        <v>286</v>
      </c>
      <c r="D319" s="66">
        <v>4.8</v>
      </c>
      <c r="E319" s="24">
        <v>11.81</v>
      </c>
      <c r="F319" s="66">
        <v>4.9800000000000004</v>
      </c>
      <c r="G319" s="24">
        <v>1.6</v>
      </c>
      <c r="H319" s="24">
        <v>7.3</v>
      </c>
      <c r="I319" s="24">
        <v>4.25</v>
      </c>
      <c r="J319" s="24">
        <f t="shared" si="19"/>
        <v>34.74</v>
      </c>
      <c r="K319" s="24" t="s">
        <v>475</v>
      </c>
      <c r="L319" s="25">
        <f t="shared" si="25"/>
        <v>34.74</v>
      </c>
    </row>
    <row r="320" spans="1:12">
      <c r="A320" s="27">
        <v>53</v>
      </c>
      <c r="B320" s="45">
        <v>200943124</v>
      </c>
      <c r="C320" s="56" t="s">
        <v>364</v>
      </c>
      <c r="D320" s="66">
        <v>7.1</v>
      </c>
      <c r="E320" s="24">
        <v>7.1</v>
      </c>
      <c r="F320" s="24">
        <v>2.71</v>
      </c>
      <c r="G320" s="24">
        <v>0.45</v>
      </c>
      <c r="H320" s="24">
        <v>0</v>
      </c>
      <c r="I320" s="24">
        <v>5</v>
      </c>
      <c r="J320" s="24">
        <f t="shared" si="19"/>
        <v>22.36</v>
      </c>
      <c r="K320" s="24" t="s">
        <v>475</v>
      </c>
      <c r="L320" s="25">
        <f t="shared" si="25"/>
        <v>22.36</v>
      </c>
    </row>
    <row r="321" spans="1:12">
      <c r="A321" s="27">
        <v>54</v>
      </c>
      <c r="B321" s="45">
        <v>200943129</v>
      </c>
      <c r="C321" s="59" t="s">
        <v>287</v>
      </c>
      <c r="D321" s="66">
        <v>4.3</v>
      </c>
      <c r="E321" s="24">
        <v>2.81</v>
      </c>
      <c r="F321" s="66">
        <v>1.33</v>
      </c>
      <c r="G321" s="24">
        <v>0</v>
      </c>
      <c r="H321" s="24">
        <v>0</v>
      </c>
      <c r="I321" s="24">
        <v>2.25</v>
      </c>
      <c r="J321" s="24">
        <f t="shared" si="19"/>
        <v>10.690000000000001</v>
      </c>
      <c r="K321" s="24" t="s">
        <v>475</v>
      </c>
      <c r="L321" s="25">
        <f t="shared" si="25"/>
        <v>10.690000000000001</v>
      </c>
    </row>
    <row r="322" spans="1:12">
      <c r="A322" s="27">
        <v>55</v>
      </c>
      <c r="B322" s="45">
        <v>200943311</v>
      </c>
      <c r="C322" s="56" t="s">
        <v>288</v>
      </c>
      <c r="D322" s="66">
        <v>2.95</v>
      </c>
      <c r="E322" s="24">
        <v>9.4</v>
      </c>
      <c r="F322" s="66">
        <v>4.12</v>
      </c>
      <c r="G322" s="24">
        <v>1.1000000000000001</v>
      </c>
      <c r="H322" s="24">
        <v>0</v>
      </c>
      <c r="I322" s="24">
        <v>4.5</v>
      </c>
      <c r="J322" s="24">
        <f t="shared" si="19"/>
        <v>22.069999999999997</v>
      </c>
      <c r="K322" s="24" t="s">
        <v>475</v>
      </c>
      <c r="L322" s="25">
        <f t="shared" si="25"/>
        <v>22.069999999999997</v>
      </c>
    </row>
    <row r="323" spans="1:12">
      <c r="A323" s="27">
        <v>56</v>
      </c>
      <c r="B323" s="45">
        <v>200943324</v>
      </c>
      <c r="C323" s="56" t="s">
        <v>289</v>
      </c>
      <c r="D323" s="66">
        <v>3.1</v>
      </c>
      <c r="E323" s="24">
        <v>5.74</v>
      </c>
      <c r="F323" s="66">
        <v>3.09</v>
      </c>
      <c r="G323" s="24">
        <v>1.28</v>
      </c>
      <c r="H323" s="24">
        <v>0</v>
      </c>
      <c r="I323" s="24">
        <v>5</v>
      </c>
      <c r="J323" s="24">
        <f t="shared" si="19"/>
        <v>18.21</v>
      </c>
      <c r="K323" s="24" t="s">
        <v>475</v>
      </c>
      <c r="L323" s="25">
        <f t="shared" si="25"/>
        <v>18.21</v>
      </c>
    </row>
    <row r="324" spans="1:12">
      <c r="A324" s="27">
        <v>57</v>
      </c>
      <c r="B324" s="45">
        <v>200943328</v>
      </c>
      <c r="C324" s="56" t="s">
        <v>290</v>
      </c>
      <c r="D324" s="66">
        <v>2.95</v>
      </c>
      <c r="E324" s="24">
        <v>4.3</v>
      </c>
      <c r="F324" s="66">
        <v>1.35</v>
      </c>
      <c r="G324" s="24">
        <v>0</v>
      </c>
      <c r="H324" s="24">
        <v>0</v>
      </c>
      <c r="I324" s="24">
        <v>4.25</v>
      </c>
      <c r="J324" s="24">
        <f t="shared" si="19"/>
        <v>12.849999999999998</v>
      </c>
      <c r="K324" s="24" t="s">
        <v>475</v>
      </c>
      <c r="L324" s="25">
        <f t="shared" si="25"/>
        <v>12.849999999999998</v>
      </c>
    </row>
    <row r="325" spans="1:12">
      <c r="A325" s="27">
        <v>58</v>
      </c>
      <c r="B325" s="45">
        <v>200943367</v>
      </c>
      <c r="C325" s="56" t="s">
        <v>291</v>
      </c>
      <c r="D325" s="66">
        <v>4.45</v>
      </c>
      <c r="E325" s="24">
        <v>5.7</v>
      </c>
      <c r="F325" s="66">
        <v>4.55</v>
      </c>
      <c r="G325" s="24">
        <v>0.83</v>
      </c>
      <c r="H325" s="24">
        <v>2.27</v>
      </c>
      <c r="I325" s="24">
        <v>3.25</v>
      </c>
      <c r="J325" s="24">
        <f t="shared" si="19"/>
        <v>21.049999999999997</v>
      </c>
      <c r="K325" s="24" t="s">
        <v>475</v>
      </c>
      <c r="L325" s="25">
        <f t="shared" si="25"/>
        <v>21.049999999999997</v>
      </c>
    </row>
    <row r="326" spans="1:12">
      <c r="A326" s="27">
        <v>59</v>
      </c>
      <c r="B326" s="45">
        <v>200943515</v>
      </c>
      <c r="C326" s="58" t="s">
        <v>292</v>
      </c>
      <c r="D326" s="66">
        <v>5.5</v>
      </c>
      <c r="E326" s="24">
        <v>11.48</v>
      </c>
      <c r="F326" s="66">
        <v>9.61</v>
      </c>
      <c r="G326" s="24">
        <v>6.08</v>
      </c>
      <c r="H326" s="24">
        <v>11.77</v>
      </c>
      <c r="I326" s="24">
        <v>5</v>
      </c>
      <c r="J326" s="24">
        <f t="shared" si="19"/>
        <v>49.44</v>
      </c>
      <c r="K326" s="24">
        <v>2.36</v>
      </c>
      <c r="L326" s="25">
        <f t="shared" si="21"/>
        <v>51.8</v>
      </c>
    </row>
    <row r="327" spans="1:12">
      <c r="A327" s="27">
        <v>60</v>
      </c>
      <c r="B327" s="45">
        <v>200943644</v>
      </c>
      <c r="C327" s="58" t="s">
        <v>293</v>
      </c>
      <c r="D327" s="66">
        <v>3.3</v>
      </c>
      <c r="E327" s="24">
        <v>4.76</v>
      </c>
      <c r="F327" s="66">
        <v>5.42</v>
      </c>
      <c r="G327" s="24">
        <v>0</v>
      </c>
      <c r="H327" s="24">
        <v>0</v>
      </c>
      <c r="I327" s="24">
        <v>0</v>
      </c>
      <c r="J327" s="24">
        <f t="shared" si="19"/>
        <v>13.48</v>
      </c>
      <c r="K327" s="24" t="s">
        <v>475</v>
      </c>
      <c r="L327" s="25">
        <f>+J327</f>
        <v>13.48</v>
      </c>
    </row>
    <row r="328" spans="1:12">
      <c r="A328" s="27">
        <v>61</v>
      </c>
      <c r="B328" s="45">
        <v>200943647</v>
      </c>
      <c r="C328" s="56" t="s">
        <v>294</v>
      </c>
      <c r="D328" s="66">
        <v>7</v>
      </c>
      <c r="E328" s="24">
        <v>8.83</v>
      </c>
      <c r="F328" s="66">
        <v>5.15</v>
      </c>
      <c r="G328" s="24">
        <v>0</v>
      </c>
      <c r="H328" s="24">
        <v>0</v>
      </c>
      <c r="I328" s="24">
        <v>3.2</v>
      </c>
      <c r="J328" s="24">
        <f t="shared" si="19"/>
        <v>24.18</v>
      </c>
      <c r="K328" s="24" t="s">
        <v>475</v>
      </c>
      <c r="L328" s="25">
        <f t="shared" ref="L328:L333" si="26">+J328</f>
        <v>24.18</v>
      </c>
    </row>
    <row r="329" spans="1:12">
      <c r="A329" s="27">
        <v>62</v>
      </c>
      <c r="B329" s="45">
        <v>200943674</v>
      </c>
      <c r="C329" s="59" t="s">
        <v>295</v>
      </c>
      <c r="D329" s="66">
        <v>3.1</v>
      </c>
      <c r="E329" s="24">
        <v>3.58</v>
      </c>
      <c r="F329" s="66">
        <v>1.93</v>
      </c>
      <c r="G329" s="24">
        <v>0</v>
      </c>
      <c r="H329" s="24">
        <v>0</v>
      </c>
      <c r="I329" s="24">
        <v>3.25</v>
      </c>
      <c r="J329" s="24">
        <f t="shared" si="19"/>
        <v>11.86</v>
      </c>
      <c r="K329" s="24" t="s">
        <v>475</v>
      </c>
      <c r="L329" s="25">
        <f t="shared" si="26"/>
        <v>11.86</v>
      </c>
    </row>
    <row r="330" spans="1:12">
      <c r="A330" s="27">
        <v>63</v>
      </c>
      <c r="B330" s="57">
        <v>200944408</v>
      </c>
      <c r="C330" s="60" t="s">
        <v>296</v>
      </c>
      <c r="D330" s="66">
        <v>5.2</v>
      </c>
      <c r="E330" s="24">
        <v>9.65</v>
      </c>
      <c r="F330" s="66">
        <v>9.41</v>
      </c>
      <c r="G330" s="24">
        <v>5</v>
      </c>
      <c r="H330" s="24">
        <v>3.93</v>
      </c>
      <c r="I330" s="24">
        <v>3.75</v>
      </c>
      <c r="J330" s="24">
        <f t="shared" si="19"/>
        <v>36.940000000000005</v>
      </c>
      <c r="K330" s="24" t="s">
        <v>475</v>
      </c>
      <c r="L330" s="25">
        <f t="shared" si="26"/>
        <v>36.940000000000005</v>
      </c>
    </row>
    <row r="331" spans="1:12">
      <c r="A331" s="27">
        <v>64</v>
      </c>
      <c r="B331" s="57">
        <v>200945537</v>
      </c>
      <c r="C331" s="60" t="s">
        <v>297</v>
      </c>
      <c r="D331" s="66">
        <v>4.42</v>
      </c>
      <c r="E331" s="24">
        <v>4.42</v>
      </c>
      <c r="F331" s="24">
        <v>0</v>
      </c>
      <c r="G331" s="24">
        <v>0</v>
      </c>
      <c r="H331" s="24">
        <v>0</v>
      </c>
      <c r="I331" s="24">
        <v>1.25</v>
      </c>
      <c r="J331" s="24">
        <f t="shared" si="19"/>
        <v>10.09</v>
      </c>
      <c r="K331" s="24" t="s">
        <v>475</v>
      </c>
      <c r="L331" s="25">
        <f t="shared" si="26"/>
        <v>10.09</v>
      </c>
    </row>
    <row r="332" spans="1:12">
      <c r="A332" s="27">
        <v>65</v>
      </c>
      <c r="B332" s="57">
        <v>200946029</v>
      </c>
      <c r="C332" s="60" t="s">
        <v>298</v>
      </c>
      <c r="D332" s="66">
        <v>5.43</v>
      </c>
      <c r="E332" s="24">
        <v>7.99</v>
      </c>
      <c r="F332" s="66">
        <v>3.65</v>
      </c>
      <c r="G332" s="24">
        <v>5.9</v>
      </c>
      <c r="H332" s="24">
        <v>0</v>
      </c>
      <c r="I332" s="24">
        <v>4.5</v>
      </c>
      <c r="J332" s="24">
        <f t="shared" si="19"/>
        <v>27.47</v>
      </c>
      <c r="K332" s="24" t="s">
        <v>475</v>
      </c>
      <c r="L332" s="25">
        <f t="shared" si="26"/>
        <v>27.47</v>
      </c>
    </row>
    <row r="333" spans="1:12">
      <c r="A333" s="27">
        <v>66</v>
      </c>
      <c r="B333" s="45">
        <v>200946037</v>
      </c>
      <c r="C333" s="60" t="s">
        <v>299</v>
      </c>
      <c r="D333" s="66">
        <v>3.1</v>
      </c>
      <c r="E333" s="24">
        <v>6.32</v>
      </c>
      <c r="F333" s="66">
        <v>1.01</v>
      </c>
      <c r="G333" s="24">
        <v>1.85</v>
      </c>
      <c r="H333" s="24">
        <v>0</v>
      </c>
      <c r="I333" s="24">
        <v>3.25</v>
      </c>
      <c r="J333" s="24">
        <f t="shared" si="19"/>
        <v>15.53</v>
      </c>
      <c r="K333" s="24" t="s">
        <v>475</v>
      </c>
      <c r="L333" s="25">
        <f t="shared" si="26"/>
        <v>15.53</v>
      </c>
    </row>
    <row r="334" spans="1:12">
      <c r="A334" s="29"/>
      <c r="B334" s="29"/>
      <c r="C334" s="30"/>
      <c r="D334" s="31"/>
      <c r="E334" s="31"/>
      <c r="F334" s="31"/>
      <c r="G334" s="31"/>
      <c r="H334" s="31"/>
      <c r="I334" s="31"/>
      <c r="J334" s="31"/>
      <c r="K334" s="31"/>
      <c r="L334" s="32"/>
    </row>
    <row r="335" spans="1:12">
      <c r="A335" s="29"/>
      <c r="B335" s="29"/>
      <c r="C335" s="30"/>
      <c r="D335" s="31"/>
      <c r="E335" s="31"/>
      <c r="F335" s="31"/>
      <c r="G335" s="31"/>
      <c r="H335" s="31"/>
      <c r="I335" s="31"/>
      <c r="J335" s="31"/>
      <c r="K335" s="31"/>
      <c r="L335" s="32"/>
    </row>
    <row r="336" spans="1:12" ht="17.25" thickBot="1">
      <c r="A336" s="33"/>
      <c r="B336" s="33"/>
      <c r="C336" s="34"/>
      <c r="D336" s="31"/>
      <c r="E336" s="31"/>
      <c r="F336" s="31"/>
      <c r="G336" s="31"/>
      <c r="H336" s="35"/>
      <c r="I336" s="35"/>
      <c r="J336" s="35"/>
      <c r="K336" s="9"/>
      <c r="L336" s="32"/>
    </row>
    <row r="337" spans="1:12">
      <c r="H337" s="100" t="s">
        <v>450</v>
      </c>
      <c r="I337" s="100"/>
      <c r="J337" s="100"/>
      <c r="L337" s="1"/>
    </row>
    <row r="338" spans="1:12">
      <c r="D338" s="36"/>
      <c r="H338" s="100" t="s">
        <v>21</v>
      </c>
      <c r="I338" s="100"/>
      <c r="J338" s="100"/>
      <c r="L338" s="1"/>
    </row>
    <row r="339" spans="1:12">
      <c r="D339" s="36"/>
      <c r="H339" s="100" t="s">
        <v>448</v>
      </c>
      <c r="I339" s="100"/>
      <c r="J339" s="100"/>
      <c r="L339" s="1"/>
    </row>
    <row r="341" spans="1:12" ht="17.25" thickBot="1">
      <c r="A341" s="1" t="s">
        <v>0</v>
      </c>
      <c r="I341" s="3"/>
    </row>
    <row r="342" spans="1:12">
      <c r="A342" s="1" t="s">
        <v>1</v>
      </c>
      <c r="F342" s="4"/>
      <c r="G342" s="5"/>
      <c r="H342" s="6"/>
      <c r="I342" s="7"/>
    </row>
    <row r="343" spans="1:12">
      <c r="A343" s="8" t="s">
        <v>2</v>
      </c>
      <c r="B343" s="9"/>
      <c r="E343" s="7"/>
      <c r="F343" s="10"/>
      <c r="G343" s="11"/>
      <c r="H343" s="12"/>
      <c r="I343" s="7"/>
    </row>
    <row r="344" spans="1:12" ht="17.25" thickBot="1">
      <c r="A344" s="13" t="s">
        <v>3</v>
      </c>
      <c r="B344" s="9"/>
      <c r="E344" s="7"/>
      <c r="F344" s="10"/>
      <c r="G344" s="11"/>
      <c r="H344" s="12"/>
      <c r="I344" s="7"/>
    </row>
    <row r="345" spans="1:12" ht="17.25" thickBot="1">
      <c r="A345" s="14" t="s">
        <v>22</v>
      </c>
      <c r="B345" s="15"/>
      <c r="C345" s="16"/>
      <c r="E345" s="7"/>
      <c r="F345" s="17"/>
      <c r="G345" s="18"/>
      <c r="H345" s="19"/>
      <c r="I345" s="7"/>
    </row>
    <row r="346" spans="1:12">
      <c r="A346" s="8"/>
      <c r="B346" s="9"/>
      <c r="E346" s="7"/>
      <c r="I346" s="3"/>
    </row>
    <row r="347" spans="1:12">
      <c r="A347" s="1" t="s">
        <v>91</v>
      </c>
      <c r="B347" s="9"/>
      <c r="C347" s="20" t="s">
        <v>365</v>
      </c>
      <c r="E347" s="7"/>
      <c r="I347" s="3"/>
    </row>
    <row r="348" spans="1:12">
      <c r="A348" s="1" t="s">
        <v>4</v>
      </c>
      <c r="C348" s="20" t="s">
        <v>445</v>
      </c>
      <c r="I348" s="3"/>
    </row>
    <row r="349" spans="1:12">
      <c r="A349" s="1" t="s">
        <v>5</v>
      </c>
      <c r="C349" s="20" t="s">
        <v>446</v>
      </c>
    </row>
    <row r="350" spans="1:12">
      <c r="A350" s="21"/>
      <c r="B350" s="21"/>
      <c r="C350" s="21"/>
      <c r="D350" s="21"/>
      <c r="E350" s="21"/>
      <c r="F350" s="21"/>
      <c r="G350" s="21"/>
      <c r="H350" s="21"/>
      <c r="I350" s="21"/>
      <c r="J350" s="21"/>
    </row>
    <row r="351" spans="1:12">
      <c r="A351" s="1"/>
      <c r="C351" s="22" t="s">
        <v>6</v>
      </c>
      <c r="D351" s="22" t="s">
        <v>93</v>
      </c>
      <c r="E351" s="22" t="s">
        <v>93</v>
      </c>
      <c r="F351" s="22" t="s">
        <v>93</v>
      </c>
      <c r="G351" s="22" t="s">
        <v>93</v>
      </c>
      <c r="H351" s="22" t="s">
        <v>93</v>
      </c>
      <c r="I351" s="22" t="s">
        <v>94</v>
      </c>
      <c r="J351" s="22" t="s">
        <v>8</v>
      </c>
      <c r="K351" s="22" t="s">
        <v>7</v>
      </c>
      <c r="L351" s="22" t="s">
        <v>9</v>
      </c>
    </row>
    <row r="352" spans="1:12">
      <c r="A352" s="22" t="s">
        <v>10</v>
      </c>
      <c r="B352" s="22" t="s">
        <v>11</v>
      </c>
      <c r="C352" s="22" t="s">
        <v>12</v>
      </c>
      <c r="D352" s="22" t="s">
        <v>13</v>
      </c>
      <c r="E352" s="22" t="s">
        <v>14</v>
      </c>
      <c r="F352" s="22" t="s">
        <v>15</v>
      </c>
      <c r="G352" s="22" t="s">
        <v>16</v>
      </c>
      <c r="H352" s="22" t="s">
        <v>17</v>
      </c>
      <c r="I352" s="22" t="s">
        <v>95</v>
      </c>
      <c r="J352" s="22" t="s">
        <v>18</v>
      </c>
      <c r="K352" s="22" t="s">
        <v>19</v>
      </c>
      <c r="L352" s="22" t="s">
        <v>20</v>
      </c>
    </row>
    <row r="353" spans="1:12">
      <c r="A353" s="23">
        <v>1</v>
      </c>
      <c r="B353" s="45">
        <v>200741821</v>
      </c>
      <c r="C353" s="56" t="s">
        <v>366</v>
      </c>
      <c r="D353" s="66">
        <v>10.9</v>
      </c>
      <c r="E353" s="66">
        <v>10.35</v>
      </c>
      <c r="F353" s="24">
        <v>11.4</v>
      </c>
      <c r="G353" s="24">
        <v>8.5500000000000007</v>
      </c>
      <c r="H353" s="24">
        <v>9</v>
      </c>
      <c r="I353" s="24">
        <v>5</v>
      </c>
      <c r="J353" s="24">
        <f>+I353+H353+G353+F353+E353+D353</f>
        <v>55.2</v>
      </c>
      <c r="K353" s="24">
        <v>9.4</v>
      </c>
      <c r="L353" s="25">
        <f>+K353+J353</f>
        <v>64.600000000000009</v>
      </c>
    </row>
    <row r="354" spans="1:12">
      <c r="A354" s="26">
        <v>2</v>
      </c>
      <c r="B354" s="45">
        <v>200741835</v>
      </c>
      <c r="C354" s="56" t="s">
        <v>367</v>
      </c>
      <c r="D354" s="66">
        <v>9.5500000000000007</v>
      </c>
      <c r="E354" s="66">
        <v>10.050000000000001</v>
      </c>
      <c r="F354" s="24">
        <v>10.83</v>
      </c>
      <c r="G354" s="24">
        <v>3.45</v>
      </c>
      <c r="H354" s="24">
        <v>10.8</v>
      </c>
      <c r="I354" s="24">
        <v>4.9000000000000004</v>
      </c>
      <c r="J354" s="24">
        <f t="shared" ref="J354:J408" si="27">+I354+H354+G354+F354+E354+D354</f>
        <v>49.58</v>
      </c>
      <c r="K354" s="24">
        <v>4.8</v>
      </c>
      <c r="L354" s="25">
        <f t="shared" ref="L354:L402" si="28">+K354+J354</f>
        <v>54.379999999999995</v>
      </c>
    </row>
    <row r="355" spans="1:12">
      <c r="A355" s="27">
        <v>3</v>
      </c>
      <c r="B355" s="45">
        <v>200742795</v>
      </c>
      <c r="C355" s="56" t="s">
        <v>370</v>
      </c>
      <c r="D355" s="66">
        <v>4.6500000000000004</v>
      </c>
      <c r="E355" s="66">
        <v>9.52</v>
      </c>
      <c r="F355" s="24">
        <v>7.95</v>
      </c>
      <c r="G355" s="24">
        <v>3.75</v>
      </c>
      <c r="H355" s="24">
        <v>3</v>
      </c>
      <c r="I355" s="24">
        <v>4</v>
      </c>
      <c r="J355" s="24">
        <f t="shared" si="27"/>
        <v>32.869999999999997</v>
      </c>
      <c r="K355" s="24" t="s">
        <v>475</v>
      </c>
      <c r="L355" s="25">
        <f>+J355</f>
        <v>32.869999999999997</v>
      </c>
    </row>
    <row r="356" spans="1:12">
      <c r="A356" s="26">
        <v>4</v>
      </c>
      <c r="B356" s="45">
        <v>200840057</v>
      </c>
      <c r="C356" s="56" t="s">
        <v>371</v>
      </c>
      <c r="D356" s="66">
        <v>3</v>
      </c>
      <c r="E356" s="66">
        <v>3</v>
      </c>
      <c r="F356" s="24">
        <v>2.4300000000000002</v>
      </c>
      <c r="G356" s="24">
        <v>0</v>
      </c>
      <c r="H356" s="24">
        <v>0</v>
      </c>
      <c r="I356" s="24">
        <v>1.75</v>
      </c>
      <c r="J356" s="24">
        <f t="shared" si="27"/>
        <v>10.18</v>
      </c>
      <c r="K356" s="24" t="s">
        <v>475</v>
      </c>
      <c r="L356" s="25">
        <f t="shared" ref="L356:L361" si="29">+J356</f>
        <v>10.18</v>
      </c>
    </row>
    <row r="357" spans="1:12">
      <c r="A357" s="26">
        <v>5</v>
      </c>
      <c r="B357" s="45">
        <v>200840063</v>
      </c>
      <c r="C357" s="56" t="s">
        <v>372</v>
      </c>
      <c r="D357" s="66">
        <v>7.3</v>
      </c>
      <c r="E357" s="66">
        <v>7.95</v>
      </c>
      <c r="F357" s="24">
        <v>5.65</v>
      </c>
      <c r="G357" s="24">
        <v>1.05</v>
      </c>
      <c r="H357" s="24">
        <v>0</v>
      </c>
      <c r="I357" s="24">
        <v>3.75</v>
      </c>
      <c r="J357" s="24">
        <f t="shared" si="27"/>
        <v>25.7</v>
      </c>
      <c r="K357" s="24" t="s">
        <v>475</v>
      </c>
      <c r="L357" s="25">
        <f t="shared" si="29"/>
        <v>25.7</v>
      </c>
    </row>
    <row r="358" spans="1:12">
      <c r="A358" s="26">
        <v>6</v>
      </c>
      <c r="B358" s="45">
        <v>200840082</v>
      </c>
      <c r="C358" s="56" t="s">
        <v>373</v>
      </c>
      <c r="D358" s="66">
        <v>5.8</v>
      </c>
      <c r="E358" s="66">
        <v>5.92</v>
      </c>
      <c r="F358" s="24">
        <v>7.67</v>
      </c>
      <c r="G358" s="24">
        <v>1.05</v>
      </c>
      <c r="H358" s="24">
        <v>0</v>
      </c>
      <c r="I358" s="24">
        <v>3.9</v>
      </c>
      <c r="J358" s="24">
        <f t="shared" si="27"/>
        <v>24.34</v>
      </c>
      <c r="K358" s="24" t="s">
        <v>475</v>
      </c>
      <c r="L358" s="25">
        <f t="shared" si="29"/>
        <v>24.34</v>
      </c>
    </row>
    <row r="359" spans="1:12">
      <c r="A359" s="26">
        <v>7</v>
      </c>
      <c r="B359" s="45">
        <v>200840117</v>
      </c>
      <c r="C359" s="56" t="s">
        <v>374</v>
      </c>
      <c r="D359" s="66">
        <v>6</v>
      </c>
      <c r="E359" s="66">
        <v>6.9</v>
      </c>
      <c r="F359" s="24">
        <v>3.32</v>
      </c>
      <c r="G359" s="24">
        <v>0</v>
      </c>
      <c r="H359" s="24">
        <v>0</v>
      </c>
      <c r="I359" s="24">
        <v>2.75</v>
      </c>
      <c r="J359" s="24">
        <f t="shared" si="27"/>
        <v>18.97</v>
      </c>
      <c r="K359" s="24" t="s">
        <v>475</v>
      </c>
      <c r="L359" s="25">
        <f t="shared" si="29"/>
        <v>18.97</v>
      </c>
    </row>
    <row r="360" spans="1:12">
      <c r="A360" s="26">
        <v>8</v>
      </c>
      <c r="B360" s="45">
        <v>200840139</v>
      </c>
      <c r="C360" s="56" t="s">
        <v>375</v>
      </c>
      <c r="D360" s="66">
        <v>10.45</v>
      </c>
      <c r="E360" s="66">
        <v>0</v>
      </c>
      <c r="F360" s="24">
        <v>0</v>
      </c>
      <c r="G360" s="24">
        <v>0</v>
      </c>
      <c r="H360" s="24">
        <v>0</v>
      </c>
      <c r="I360" s="24">
        <v>1.05</v>
      </c>
      <c r="J360" s="24">
        <f t="shared" si="27"/>
        <v>11.5</v>
      </c>
      <c r="K360" s="24" t="s">
        <v>475</v>
      </c>
      <c r="L360" s="25">
        <f t="shared" si="29"/>
        <v>11.5</v>
      </c>
    </row>
    <row r="361" spans="1:12">
      <c r="A361" s="26">
        <v>9</v>
      </c>
      <c r="B361" s="45">
        <v>200840178</v>
      </c>
      <c r="C361" s="60" t="s">
        <v>377</v>
      </c>
      <c r="D361" s="66">
        <v>7.75</v>
      </c>
      <c r="E361" s="66">
        <v>7.2</v>
      </c>
      <c r="F361" s="24">
        <v>5.63</v>
      </c>
      <c r="G361" s="24">
        <v>2.75</v>
      </c>
      <c r="H361" s="24">
        <v>7.35</v>
      </c>
      <c r="I361" s="24">
        <v>5</v>
      </c>
      <c r="J361" s="24">
        <f t="shared" si="27"/>
        <v>35.68</v>
      </c>
      <c r="K361" s="24" t="s">
        <v>475</v>
      </c>
      <c r="L361" s="25">
        <f t="shared" si="29"/>
        <v>35.68</v>
      </c>
    </row>
    <row r="362" spans="1:12">
      <c r="A362" s="26">
        <v>10</v>
      </c>
      <c r="B362" s="45">
        <v>200840181</v>
      </c>
      <c r="C362" s="56" t="s">
        <v>378</v>
      </c>
      <c r="D362" s="66">
        <v>10.3</v>
      </c>
      <c r="E362" s="66">
        <v>13.2</v>
      </c>
      <c r="F362" s="24">
        <v>11.19</v>
      </c>
      <c r="G362" s="24">
        <v>10.72</v>
      </c>
      <c r="H362" s="24">
        <v>12</v>
      </c>
      <c r="I362" s="24">
        <v>4.8</v>
      </c>
      <c r="J362" s="24">
        <f t="shared" si="27"/>
        <v>62.209999999999994</v>
      </c>
      <c r="K362" s="24">
        <v>15.3</v>
      </c>
      <c r="L362" s="25">
        <f t="shared" si="28"/>
        <v>77.509999999999991</v>
      </c>
    </row>
    <row r="363" spans="1:12">
      <c r="A363" s="26">
        <v>11</v>
      </c>
      <c r="B363" s="45">
        <v>200840190</v>
      </c>
      <c r="C363" s="56" t="s">
        <v>379</v>
      </c>
      <c r="D363" s="66">
        <v>6.85</v>
      </c>
      <c r="E363" s="66">
        <v>4.5</v>
      </c>
      <c r="F363" s="24">
        <v>2.73</v>
      </c>
      <c r="G363" s="24">
        <v>0</v>
      </c>
      <c r="H363" s="28">
        <v>0</v>
      </c>
      <c r="I363" s="28">
        <v>3.8</v>
      </c>
      <c r="J363" s="24">
        <f t="shared" si="27"/>
        <v>17.88</v>
      </c>
      <c r="K363" s="24" t="s">
        <v>475</v>
      </c>
      <c r="L363" s="25">
        <f>+J363</f>
        <v>17.88</v>
      </c>
    </row>
    <row r="364" spans="1:12">
      <c r="A364" s="26">
        <v>12</v>
      </c>
      <c r="B364" s="45">
        <v>200840194</v>
      </c>
      <c r="C364" s="56" t="s">
        <v>380</v>
      </c>
      <c r="D364" s="66">
        <v>9.25</v>
      </c>
      <c r="E364" s="66">
        <v>9.3000000000000007</v>
      </c>
      <c r="F364" s="24">
        <v>9.6199999999999992</v>
      </c>
      <c r="G364" s="24">
        <v>6.07</v>
      </c>
      <c r="H364" s="28">
        <v>12.6</v>
      </c>
      <c r="I364" s="28">
        <v>4.25</v>
      </c>
      <c r="J364" s="24">
        <f t="shared" si="27"/>
        <v>51.09</v>
      </c>
      <c r="K364" s="24">
        <v>10.8</v>
      </c>
      <c r="L364" s="25">
        <f t="shared" si="28"/>
        <v>61.89</v>
      </c>
    </row>
    <row r="365" spans="1:12">
      <c r="A365" s="26">
        <v>13</v>
      </c>
      <c r="B365" s="45">
        <v>200840222</v>
      </c>
      <c r="C365" s="56" t="s">
        <v>381</v>
      </c>
      <c r="D365" s="66">
        <v>7.45</v>
      </c>
      <c r="E365" s="66">
        <v>9.52</v>
      </c>
      <c r="F365" s="24">
        <v>6.33</v>
      </c>
      <c r="G365" s="24">
        <v>5.4</v>
      </c>
      <c r="H365" s="28">
        <v>10.8</v>
      </c>
      <c r="I365" s="28">
        <v>4.9000000000000004</v>
      </c>
      <c r="J365" s="24">
        <f t="shared" si="27"/>
        <v>44.400000000000006</v>
      </c>
      <c r="K365" s="24">
        <v>7.4</v>
      </c>
      <c r="L365" s="25">
        <f t="shared" si="28"/>
        <v>51.800000000000004</v>
      </c>
    </row>
    <row r="366" spans="1:12">
      <c r="A366" s="23">
        <v>14</v>
      </c>
      <c r="B366" s="45">
        <v>200840256</v>
      </c>
      <c r="C366" s="56" t="s">
        <v>382</v>
      </c>
      <c r="D366" s="66">
        <v>9.25</v>
      </c>
      <c r="E366" s="66">
        <v>12.3</v>
      </c>
      <c r="F366" s="24">
        <v>12.31</v>
      </c>
      <c r="G366" s="24">
        <v>9.6</v>
      </c>
      <c r="H366" s="28">
        <v>11.7</v>
      </c>
      <c r="I366" s="28">
        <v>4.8</v>
      </c>
      <c r="J366" s="24">
        <f t="shared" si="27"/>
        <v>59.960000000000008</v>
      </c>
      <c r="K366" s="24">
        <v>10.4</v>
      </c>
      <c r="L366" s="25">
        <f t="shared" si="28"/>
        <v>70.360000000000014</v>
      </c>
    </row>
    <row r="367" spans="1:12">
      <c r="A367" s="23">
        <v>15</v>
      </c>
      <c r="B367" s="45">
        <v>200842080</v>
      </c>
      <c r="C367" s="56" t="s">
        <v>383</v>
      </c>
      <c r="D367" s="66">
        <v>7.6</v>
      </c>
      <c r="E367" s="66">
        <v>10.35</v>
      </c>
      <c r="F367" s="24">
        <v>4.82</v>
      </c>
      <c r="G367" s="24">
        <v>2.62</v>
      </c>
      <c r="H367" s="24">
        <v>8.5500000000000007</v>
      </c>
      <c r="I367" s="24">
        <v>5</v>
      </c>
      <c r="J367" s="24">
        <f t="shared" si="27"/>
        <v>38.940000000000005</v>
      </c>
      <c r="K367" s="24" t="s">
        <v>475</v>
      </c>
      <c r="L367" s="25">
        <f>+J367</f>
        <v>38.940000000000005</v>
      </c>
    </row>
    <row r="368" spans="1:12">
      <c r="A368" s="23">
        <v>16</v>
      </c>
      <c r="B368" s="45">
        <v>200842122</v>
      </c>
      <c r="C368" s="60" t="s">
        <v>384</v>
      </c>
      <c r="D368" s="66">
        <v>3.85</v>
      </c>
      <c r="E368" s="66">
        <v>5.0999999999999996</v>
      </c>
      <c r="F368" s="24">
        <v>4.45</v>
      </c>
      <c r="G368" s="24">
        <v>0.45</v>
      </c>
      <c r="H368" s="24">
        <v>1.8</v>
      </c>
      <c r="I368" s="24">
        <v>4.0999999999999996</v>
      </c>
      <c r="J368" s="24">
        <f t="shared" si="27"/>
        <v>19.75</v>
      </c>
      <c r="K368" s="24" t="s">
        <v>475</v>
      </c>
      <c r="L368" s="25">
        <f>+J368</f>
        <v>19.75</v>
      </c>
    </row>
    <row r="369" spans="1:12">
      <c r="A369" s="23">
        <v>17</v>
      </c>
      <c r="B369" s="45">
        <v>200842241</v>
      </c>
      <c r="C369" s="56" t="s">
        <v>385</v>
      </c>
      <c r="D369" s="66">
        <v>7.48</v>
      </c>
      <c r="E369" s="66">
        <v>10.8</v>
      </c>
      <c r="F369" s="24">
        <v>10.08</v>
      </c>
      <c r="G369" s="24">
        <v>6.08</v>
      </c>
      <c r="H369" s="24">
        <v>7.5</v>
      </c>
      <c r="I369" s="24">
        <v>4.3499999999999996</v>
      </c>
      <c r="J369" s="24">
        <f t="shared" si="27"/>
        <v>46.290000000000006</v>
      </c>
      <c r="K369" s="24">
        <v>3.2</v>
      </c>
      <c r="L369" s="25">
        <f t="shared" si="28"/>
        <v>49.490000000000009</v>
      </c>
    </row>
    <row r="370" spans="1:12">
      <c r="A370" s="27">
        <v>18</v>
      </c>
      <c r="B370" s="45">
        <v>200842422</v>
      </c>
      <c r="C370" s="56" t="s">
        <v>451</v>
      </c>
      <c r="D370" s="66">
        <v>7.3</v>
      </c>
      <c r="E370" s="66">
        <f>F370</f>
        <v>2.7</v>
      </c>
      <c r="F370" s="24">
        <f>G370</f>
        <v>2.7</v>
      </c>
      <c r="G370" s="24">
        <v>2.7</v>
      </c>
      <c r="H370" s="24">
        <v>0</v>
      </c>
      <c r="I370" s="24">
        <v>3.5</v>
      </c>
      <c r="J370" s="24">
        <f t="shared" si="27"/>
        <v>18.900000000000002</v>
      </c>
      <c r="K370" s="24" t="s">
        <v>475</v>
      </c>
      <c r="L370" s="25">
        <f>+J370</f>
        <v>18.900000000000002</v>
      </c>
    </row>
    <row r="371" spans="1:12">
      <c r="A371" s="27">
        <v>19</v>
      </c>
      <c r="B371" s="45">
        <v>200842701</v>
      </c>
      <c r="C371" s="56" t="s">
        <v>388</v>
      </c>
      <c r="D371" s="66">
        <v>4.68</v>
      </c>
      <c r="E371" s="66">
        <v>6.9</v>
      </c>
      <c r="F371" s="24">
        <v>0</v>
      </c>
      <c r="G371" s="24">
        <v>0</v>
      </c>
      <c r="H371" s="24">
        <v>0</v>
      </c>
      <c r="I371" s="24">
        <v>2.15</v>
      </c>
      <c r="J371" s="24">
        <f t="shared" si="27"/>
        <v>13.73</v>
      </c>
      <c r="K371" s="24" t="s">
        <v>475</v>
      </c>
      <c r="L371" s="25">
        <f t="shared" ref="L371:L373" si="30">+J371</f>
        <v>13.73</v>
      </c>
    </row>
    <row r="372" spans="1:12">
      <c r="A372" s="27">
        <v>20</v>
      </c>
      <c r="B372" s="45">
        <v>200843354</v>
      </c>
      <c r="C372" s="59" t="s">
        <v>389</v>
      </c>
      <c r="D372" s="66">
        <v>4</v>
      </c>
      <c r="E372" s="66">
        <v>5.4</v>
      </c>
      <c r="F372" s="24">
        <v>3.76</v>
      </c>
      <c r="G372" s="24">
        <v>1.5</v>
      </c>
      <c r="H372" s="24">
        <v>3.3</v>
      </c>
      <c r="I372" s="24">
        <v>3.9</v>
      </c>
      <c r="J372" s="24">
        <f t="shared" si="27"/>
        <v>21.86</v>
      </c>
      <c r="K372" s="24" t="s">
        <v>475</v>
      </c>
      <c r="L372" s="25">
        <f t="shared" si="30"/>
        <v>21.86</v>
      </c>
    </row>
    <row r="373" spans="1:12">
      <c r="A373" s="27">
        <v>21</v>
      </c>
      <c r="B373" s="45">
        <v>200843490</v>
      </c>
      <c r="C373" s="56" t="s">
        <v>390</v>
      </c>
      <c r="D373" s="66">
        <v>7.98</v>
      </c>
      <c r="E373" s="66">
        <v>6.9</v>
      </c>
      <c r="F373" s="24">
        <v>3.46</v>
      </c>
      <c r="G373" s="24">
        <v>0</v>
      </c>
      <c r="H373" s="24">
        <v>0</v>
      </c>
      <c r="I373" s="24">
        <v>2.15</v>
      </c>
      <c r="J373" s="24">
        <f t="shared" si="27"/>
        <v>20.490000000000002</v>
      </c>
      <c r="K373" s="24" t="s">
        <v>475</v>
      </c>
      <c r="L373" s="25">
        <f t="shared" si="30"/>
        <v>20.490000000000002</v>
      </c>
    </row>
    <row r="374" spans="1:12">
      <c r="A374" s="27">
        <v>22</v>
      </c>
      <c r="B374" s="45">
        <v>200880018</v>
      </c>
      <c r="C374" s="60" t="s">
        <v>391</v>
      </c>
      <c r="D374" s="66">
        <v>10.45</v>
      </c>
      <c r="E374" s="66">
        <v>11.77</v>
      </c>
      <c r="F374" s="24">
        <v>11.49</v>
      </c>
      <c r="G374" s="24">
        <v>8.17</v>
      </c>
      <c r="H374" s="24">
        <v>12</v>
      </c>
      <c r="I374" s="24">
        <v>4.8</v>
      </c>
      <c r="J374" s="24">
        <f t="shared" si="27"/>
        <v>58.680000000000007</v>
      </c>
      <c r="K374" s="24">
        <v>6</v>
      </c>
      <c r="L374" s="25">
        <f t="shared" si="28"/>
        <v>64.680000000000007</v>
      </c>
    </row>
    <row r="375" spans="1:12">
      <c r="A375" s="27">
        <v>23</v>
      </c>
      <c r="B375" s="45">
        <v>200880037</v>
      </c>
      <c r="C375" s="56" t="s">
        <v>392</v>
      </c>
      <c r="D375" s="66">
        <v>6.55</v>
      </c>
      <c r="E375" s="66">
        <v>13.5</v>
      </c>
      <c r="F375" s="24">
        <v>10.45</v>
      </c>
      <c r="G375" s="24">
        <v>9.3000000000000007</v>
      </c>
      <c r="H375" s="24">
        <v>13.2</v>
      </c>
      <c r="I375" s="24">
        <v>5</v>
      </c>
      <c r="J375" s="24">
        <f t="shared" si="27"/>
        <v>58</v>
      </c>
      <c r="K375" s="24">
        <v>9.6</v>
      </c>
      <c r="L375" s="25">
        <f t="shared" si="28"/>
        <v>67.599999999999994</v>
      </c>
    </row>
    <row r="376" spans="1:12">
      <c r="A376" s="27">
        <v>24</v>
      </c>
      <c r="B376" s="45">
        <v>200880038</v>
      </c>
      <c r="C376" s="56" t="s">
        <v>393</v>
      </c>
      <c r="D376" s="66">
        <v>7</v>
      </c>
      <c r="E376" s="66">
        <v>10.27</v>
      </c>
      <c r="F376" s="24">
        <v>7.9</v>
      </c>
      <c r="G376" s="24">
        <v>8.85</v>
      </c>
      <c r="H376" s="24">
        <v>10.199999999999999</v>
      </c>
      <c r="I376" s="24">
        <v>5</v>
      </c>
      <c r="J376" s="24">
        <f t="shared" si="27"/>
        <v>49.22</v>
      </c>
      <c r="K376" s="24">
        <v>11.5</v>
      </c>
      <c r="L376" s="25">
        <f t="shared" si="28"/>
        <v>60.72</v>
      </c>
    </row>
    <row r="377" spans="1:12">
      <c r="A377" s="27">
        <v>25</v>
      </c>
      <c r="B377" s="45">
        <v>200940459</v>
      </c>
      <c r="C377" s="56" t="s">
        <v>394</v>
      </c>
      <c r="D377" s="66">
        <v>4.3</v>
      </c>
      <c r="E377" s="66">
        <v>4.5</v>
      </c>
      <c r="F377" s="24">
        <v>1.79</v>
      </c>
      <c r="G377" s="24">
        <f>+H377</f>
        <v>1.2</v>
      </c>
      <c r="H377" s="24">
        <v>1.2</v>
      </c>
      <c r="I377" s="24">
        <v>5</v>
      </c>
      <c r="J377" s="24">
        <f t="shared" si="27"/>
        <v>17.990000000000002</v>
      </c>
      <c r="K377" s="24" t="s">
        <v>475</v>
      </c>
      <c r="L377" s="25">
        <f>+J377</f>
        <v>17.990000000000002</v>
      </c>
    </row>
    <row r="378" spans="1:12">
      <c r="A378" s="27">
        <v>26</v>
      </c>
      <c r="B378" s="57">
        <v>200940500</v>
      </c>
      <c r="C378" s="56" t="s">
        <v>395</v>
      </c>
      <c r="D378" s="66">
        <v>4.9000000000000004</v>
      </c>
      <c r="E378" s="66">
        <v>7.8</v>
      </c>
      <c r="F378" s="24">
        <v>8.35</v>
      </c>
      <c r="G378" s="24">
        <v>8.4700000000000006</v>
      </c>
      <c r="H378" s="24">
        <v>12</v>
      </c>
      <c r="I378" s="24">
        <v>5</v>
      </c>
      <c r="J378" s="24">
        <f t="shared" si="27"/>
        <v>46.519999999999996</v>
      </c>
      <c r="K378" s="24">
        <v>10.8</v>
      </c>
      <c r="L378" s="25">
        <f t="shared" si="28"/>
        <v>57.319999999999993</v>
      </c>
    </row>
    <row r="379" spans="1:12">
      <c r="A379" s="27">
        <v>27</v>
      </c>
      <c r="B379" s="45">
        <v>200940520</v>
      </c>
      <c r="C379" s="56" t="s">
        <v>396</v>
      </c>
      <c r="D379" s="66">
        <v>4.45</v>
      </c>
      <c r="E379" s="66">
        <v>7.8</v>
      </c>
      <c r="F379" s="24">
        <v>4.3499999999999996</v>
      </c>
      <c r="G379" s="24">
        <v>0.9</v>
      </c>
      <c r="H379" s="24">
        <v>0</v>
      </c>
      <c r="I379" s="24">
        <v>2.75</v>
      </c>
      <c r="J379" s="24">
        <f t="shared" si="27"/>
        <v>20.25</v>
      </c>
      <c r="K379" s="24" t="s">
        <v>475</v>
      </c>
      <c r="L379" s="25">
        <f>+J379</f>
        <v>20.25</v>
      </c>
    </row>
    <row r="380" spans="1:12">
      <c r="A380" s="27">
        <v>28</v>
      </c>
      <c r="B380" s="45">
        <v>200940528</v>
      </c>
      <c r="C380" s="56" t="s">
        <v>397</v>
      </c>
      <c r="D380" s="66">
        <v>4.3</v>
      </c>
      <c r="E380" s="66">
        <v>0</v>
      </c>
      <c r="F380" s="24">
        <v>0</v>
      </c>
      <c r="G380" s="24">
        <v>0</v>
      </c>
      <c r="H380" s="24">
        <v>0</v>
      </c>
      <c r="I380" s="24">
        <v>1.9</v>
      </c>
      <c r="J380" s="24">
        <f t="shared" si="27"/>
        <v>6.1999999999999993</v>
      </c>
      <c r="K380" s="24" t="s">
        <v>475</v>
      </c>
      <c r="L380" s="25">
        <f t="shared" ref="L380:L389" si="31">+J380</f>
        <v>6.1999999999999993</v>
      </c>
    </row>
    <row r="381" spans="1:12">
      <c r="A381" s="27">
        <v>29</v>
      </c>
      <c r="B381" s="45">
        <v>200940536</v>
      </c>
      <c r="C381" s="56" t="s">
        <v>398</v>
      </c>
      <c r="D381" s="66">
        <v>3.25</v>
      </c>
      <c r="E381" s="66">
        <v>4.5</v>
      </c>
      <c r="F381" s="24">
        <v>6.25</v>
      </c>
      <c r="G381" s="24">
        <v>0.67</v>
      </c>
      <c r="H381" s="24">
        <v>0</v>
      </c>
      <c r="I381" s="24">
        <v>4</v>
      </c>
      <c r="J381" s="24">
        <f t="shared" si="27"/>
        <v>18.670000000000002</v>
      </c>
      <c r="K381" s="24" t="s">
        <v>475</v>
      </c>
      <c r="L381" s="25">
        <f t="shared" si="31"/>
        <v>18.670000000000002</v>
      </c>
    </row>
    <row r="382" spans="1:12">
      <c r="A382" s="27">
        <v>30</v>
      </c>
      <c r="B382" s="45">
        <v>200940876</v>
      </c>
      <c r="C382" s="56" t="s">
        <v>399</v>
      </c>
      <c r="D382" s="66">
        <v>3.4</v>
      </c>
      <c r="E382" s="66">
        <v>4.72</v>
      </c>
      <c r="F382" s="24">
        <v>3.24</v>
      </c>
      <c r="G382" s="24">
        <v>0.22</v>
      </c>
      <c r="H382" s="24">
        <v>0</v>
      </c>
      <c r="I382" s="24">
        <v>3.75</v>
      </c>
      <c r="J382" s="24">
        <f t="shared" si="27"/>
        <v>15.33</v>
      </c>
      <c r="K382" s="24" t="s">
        <v>475</v>
      </c>
      <c r="L382" s="25">
        <f t="shared" si="31"/>
        <v>15.33</v>
      </c>
    </row>
    <row r="383" spans="1:12">
      <c r="A383" s="27">
        <v>31</v>
      </c>
      <c r="B383" s="45">
        <v>200940879</v>
      </c>
      <c r="C383" s="59" t="s">
        <v>400</v>
      </c>
      <c r="D383" s="66">
        <v>3.25</v>
      </c>
      <c r="E383" s="66">
        <v>5.92</v>
      </c>
      <c r="F383" s="24">
        <v>2.2400000000000002</v>
      </c>
      <c r="G383" s="24">
        <v>0.9</v>
      </c>
      <c r="H383" s="24">
        <v>0</v>
      </c>
      <c r="I383" s="24">
        <v>3.75</v>
      </c>
      <c r="J383" s="24">
        <f t="shared" si="27"/>
        <v>16.060000000000002</v>
      </c>
      <c r="K383" s="24" t="s">
        <v>475</v>
      </c>
      <c r="L383" s="25">
        <f t="shared" si="31"/>
        <v>16.060000000000002</v>
      </c>
    </row>
    <row r="384" spans="1:12">
      <c r="A384" s="27">
        <v>32</v>
      </c>
      <c r="B384" s="57">
        <v>200941420</v>
      </c>
      <c r="C384" s="60" t="s">
        <v>401</v>
      </c>
      <c r="D384" s="66">
        <v>3.55</v>
      </c>
      <c r="E384" s="66">
        <v>3.6</v>
      </c>
      <c r="F384" s="24">
        <v>1.8</v>
      </c>
      <c r="G384" s="24">
        <v>0</v>
      </c>
      <c r="H384" s="24">
        <v>0</v>
      </c>
      <c r="I384" s="24">
        <v>3</v>
      </c>
      <c r="J384" s="24">
        <f t="shared" si="27"/>
        <v>11.95</v>
      </c>
      <c r="K384" s="24" t="s">
        <v>475</v>
      </c>
      <c r="L384" s="25">
        <f t="shared" si="31"/>
        <v>11.95</v>
      </c>
    </row>
    <row r="385" spans="1:12">
      <c r="A385" s="27">
        <v>33</v>
      </c>
      <c r="B385" s="57">
        <v>200942150</v>
      </c>
      <c r="C385" s="60" t="s">
        <v>402</v>
      </c>
      <c r="D385" s="66">
        <v>5.8</v>
      </c>
      <c r="E385" s="66">
        <v>0</v>
      </c>
      <c r="F385" s="24">
        <v>0</v>
      </c>
      <c r="G385" s="24">
        <v>0</v>
      </c>
      <c r="H385" s="24">
        <v>0</v>
      </c>
      <c r="I385" s="24">
        <v>2</v>
      </c>
      <c r="J385" s="24">
        <f t="shared" si="27"/>
        <v>7.8</v>
      </c>
      <c r="K385" s="24" t="s">
        <v>475</v>
      </c>
      <c r="L385" s="25">
        <f t="shared" si="31"/>
        <v>7.8</v>
      </c>
    </row>
    <row r="386" spans="1:12">
      <c r="A386" s="27">
        <v>34</v>
      </c>
      <c r="B386" s="45">
        <v>200942163</v>
      </c>
      <c r="C386" s="56" t="s">
        <v>403</v>
      </c>
      <c r="D386" s="66">
        <v>4.22</v>
      </c>
      <c r="E386" s="66">
        <v>7.2</v>
      </c>
      <c r="F386" s="24">
        <f>G386</f>
        <v>0</v>
      </c>
      <c r="G386" s="24">
        <v>0</v>
      </c>
      <c r="H386" s="24">
        <v>0</v>
      </c>
      <c r="I386" s="24">
        <v>1.4</v>
      </c>
      <c r="J386" s="24">
        <f t="shared" si="27"/>
        <v>12.82</v>
      </c>
      <c r="K386" s="24" t="s">
        <v>475</v>
      </c>
      <c r="L386" s="25">
        <f t="shared" si="31"/>
        <v>12.82</v>
      </c>
    </row>
    <row r="387" spans="1:12">
      <c r="A387" s="27">
        <v>35</v>
      </c>
      <c r="B387" s="45">
        <v>200942665</v>
      </c>
      <c r="C387" s="59" t="s">
        <v>404</v>
      </c>
      <c r="D387" s="66">
        <v>4.5999999999999996</v>
      </c>
      <c r="E387" s="66">
        <v>6.3</v>
      </c>
      <c r="F387" s="24">
        <v>3.3</v>
      </c>
      <c r="G387" s="24">
        <v>1.95</v>
      </c>
      <c r="H387" s="24">
        <v>0</v>
      </c>
      <c r="I387" s="24">
        <v>3.7</v>
      </c>
      <c r="J387" s="24">
        <f t="shared" si="27"/>
        <v>19.850000000000001</v>
      </c>
      <c r="K387" s="24" t="s">
        <v>475</v>
      </c>
      <c r="L387" s="25">
        <f t="shared" si="31"/>
        <v>19.850000000000001</v>
      </c>
    </row>
    <row r="388" spans="1:12">
      <c r="A388" s="27">
        <v>36</v>
      </c>
      <c r="B388" s="45">
        <v>200942674</v>
      </c>
      <c r="C388" s="56" t="s">
        <v>405</v>
      </c>
      <c r="D388" s="66">
        <v>3.32</v>
      </c>
      <c r="E388" s="66">
        <v>0</v>
      </c>
      <c r="F388" s="24">
        <v>0</v>
      </c>
      <c r="G388" s="24">
        <v>0</v>
      </c>
      <c r="H388" s="24">
        <v>0</v>
      </c>
      <c r="I388" s="24">
        <v>3</v>
      </c>
      <c r="J388" s="24">
        <f t="shared" si="27"/>
        <v>6.32</v>
      </c>
      <c r="K388" s="24" t="s">
        <v>475</v>
      </c>
      <c r="L388" s="25">
        <f t="shared" si="31"/>
        <v>6.32</v>
      </c>
    </row>
    <row r="389" spans="1:12">
      <c r="A389" s="27">
        <v>37</v>
      </c>
      <c r="B389" s="45">
        <v>200942710</v>
      </c>
      <c r="C389" s="59" t="s">
        <v>406</v>
      </c>
      <c r="D389" s="66">
        <v>3.85</v>
      </c>
      <c r="E389" s="66">
        <v>6.22</v>
      </c>
      <c r="F389" s="24">
        <v>0</v>
      </c>
      <c r="G389" s="24">
        <v>0</v>
      </c>
      <c r="H389" s="24">
        <v>0</v>
      </c>
      <c r="I389" s="24">
        <v>1.3</v>
      </c>
      <c r="J389" s="24">
        <f t="shared" si="27"/>
        <v>11.37</v>
      </c>
      <c r="K389" s="24" t="s">
        <v>475</v>
      </c>
      <c r="L389" s="25">
        <f t="shared" si="31"/>
        <v>11.37</v>
      </c>
    </row>
    <row r="390" spans="1:12">
      <c r="A390" s="27">
        <v>38</v>
      </c>
      <c r="B390" s="45">
        <v>200942784</v>
      </c>
      <c r="C390" s="58" t="s">
        <v>407</v>
      </c>
      <c r="D390" s="66">
        <v>5.8</v>
      </c>
      <c r="E390" s="66">
        <v>9.2200000000000006</v>
      </c>
      <c r="F390" s="24">
        <v>8.7899999999999991</v>
      </c>
      <c r="G390" s="24">
        <v>5.55</v>
      </c>
      <c r="H390" s="24">
        <v>12.9</v>
      </c>
      <c r="I390" s="24">
        <v>5</v>
      </c>
      <c r="J390" s="24">
        <f t="shared" si="27"/>
        <v>47.259999999999991</v>
      </c>
      <c r="K390" s="24">
        <v>11.4</v>
      </c>
      <c r="L390" s="25">
        <f t="shared" si="28"/>
        <v>58.659999999999989</v>
      </c>
    </row>
    <row r="391" spans="1:12">
      <c r="A391" s="27">
        <v>39</v>
      </c>
      <c r="B391" s="45">
        <v>200942848</v>
      </c>
      <c r="C391" s="56" t="s">
        <v>408</v>
      </c>
      <c r="D391" s="66">
        <v>3.1</v>
      </c>
      <c r="E391" s="66">
        <v>0</v>
      </c>
      <c r="F391" s="24">
        <v>0</v>
      </c>
      <c r="G391" s="24">
        <v>0</v>
      </c>
      <c r="H391" s="24">
        <v>0</v>
      </c>
      <c r="I391" s="24">
        <v>1.5</v>
      </c>
      <c r="J391" s="24">
        <f t="shared" si="27"/>
        <v>4.5999999999999996</v>
      </c>
      <c r="K391" s="24" t="s">
        <v>475</v>
      </c>
      <c r="L391" s="25">
        <f>+J391</f>
        <v>4.5999999999999996</v>
      </c>
    </row>
    <row r="392" spans="1:12">
      <c r="A392" s="27">
        <v>40</v>
      </c>
      <c r="B392" s="45">
        <v>200942862</v>
      </c>
      <c r="C392" s="56" t="s">
        <v>409</v>
      </c>
      <c r="D392" s="66">
        <v>3.1</v>
      </c>
      <c r="E392" s="66">
        <v>2.4</v>
      </c>
      <c r="F392" s="24">
        <f>G392</f>
        <v>0</v>
      </c>
      <c r="G392" s="24">
        <v>0</v>
      </c>
      <c r="H392" s="24">
        <v>0</v>
      </c>
      <c r="I392" s="24">
        <v>1.5</v>
      </c>
      <c r="J392" s="24">
        <f t="shared" si="27"/>
        <v>7</v>
      </c>
      <c r="K392" s="24" t="s">
        <v>475</v>
      </c>
      <c r="L392" s="25">
        <f t="shared" ref="L392:L401" si="32">+J392</f>
        <v>7</v>
      </c>
    </row>
    <row r="393" spans="1:12">
      <c r="A393" s="27">
        <v>41</v>
      </c>
      <c r="B393" s="57">
        <v>200942871</v>
      </c>
      <c r="C393" s="60" t="s">
        <v>410</v>
      </c>
      <c r="D393" s="66">
        <v>8.4</v>
      </c>
      <c r="E393" s="66">
        <v>11.02</v>
      </c>
      <c r="F393" s="24">
        <v>3.44</v>
      </c>
      <c r="G393" s="24">
        <v>0</v>
      </c>
      <c r="H393" s="24">
        <v>0</v>
      </c>
      <c r="I393" s="24">
        <v>3.75</v>
      </c>
      <c r="J393" s="24">
        <f t="shared" si="27"/>
        <v>26.61</v>
      </c>
      <c r="K393" s="24" t="s">
        <v>475</v>
      </c>
      <c r="L393" s="25">
        <f t="shared" si="32"/>
        <v>26.61</v>
      </c>
    </row>
    <row r="394" spans="1:12">
      <c r="A394" s="27">
        <v>42</v>
      </c>
      <c r="B394" s="57">
        <v>200942929</v>
      </c>
      <c r="C394" s="60" t="s">
        <v>411</v>
      </c>
      <c r="D394" s="66">
        <v>2.8</v>
      </c>
      <c r="E394" s="66">
        <v>5.32</v>
      </c>
      <c r="F394" s="24">
        <v>0</v>
      </c>
      <c r="G394" s="24">
        <v>0</v>
      </c>
      <c r="H394" s="24">
        <v>0</v>
      </c>
      <c r="I394" s="24">
        <v>0.5</v>
      </c>
      <c r="J394" s="24">
        <f t="shared" si="27"/>
        <v>8.620000000000001</v>
      </c>
      <c r="K394" s="24" t="s">
        <v>475</v>
      </c>
      <c r="L394" s="25">
        <f t="shared" si="32"/>
        <v>8.620000000000001</v>
      </c>
    </row>
    <row r="395" spans="1:12">
      <c r="A395" s="27">
        <v>43</v>
      </c>
      <c r="B395" s="45">
        <v>200943135</v>
      </c>
      <c r="C395" s="56" t="s">
        <v>412</v>
      </c>
      <c r="D395" s="66">
        <v>5.65</v>
      </c>
      <c r="E395" s="66">
        <v>0</v>
      </c>
      <c r="F395" s="24">
        <v>0</v>
      </c>
      <c r="G395" s="24">
        <v>0</v>
      </c>
      <c r="H395" s="24">
        <v>0</v>
      </c>
      <c r="I395" s="24">
        <v>0.9</v>
      </c>
      <c r="J395" s="24">
        <f t="shared" si="27"/>
        <v>6.5500000000000007</v>
      </c>
      <c r="K395" s="24" t="s">
        <v>475</v>
      </c>
      <c r="L395" s="25">
        <f t="shared" si="32"/>
        <v>6.5500000000000007</v>
      </c>
    </row>
    <row r="396" spans="1:12">
      <c r="A396" s="27">
        <v>44</v>
      </c>
      <c r="B396" s="45">
        <v>200943323</v>
      </c>
      <c r="C396" s="59" t="s">
        <v>413</v>
      </c>
      <c r="D396" s="66">
        <v>5.35</v>
      </c>
      <c r="E396" s="66">
        <v>6.3</v>
      </c>
      <c r="F396" s="24">
        <v>0</v>
      </c>
      <c r="G396" s="24">
        <v>1.5</v>
      </c>
      <c r="H396" s="24">
        <v>0</v>
      </c>
      <c r="I396" s="24">
        <v>2.75</v>
      </c>
      <c r="J396" s="24">
        <f t="shared" si="27"/>
        <v>15.9</v>
      </c>
      <c r="K396" s="24" t="s">
        <v>475</v>
      </c>
      <c r="L396" s="25">
        <f t="shared" si="32"/>
        <v>15.9</v>
      </c>
    </row>
    <row r="397" spans="1:12">
      <c r="A397" s="27">
        <v>45</v>
      </c>
      <c r="B397" s="45">
        <v>200943325</v>
      </c>
      <c r="C397" s="56" t="s">
        <v>414</v>
      </c>
      <c r="D397" s="66">
        <v>3.85</v>
      </c>
      <c r="E397" s="66">
        <v>6.22</v>
      </c>
      <c r="F397" s="24">
        <v>6.69</v>
      </c>
      <c r="G397" s="24">
        <v>1.95</v>
      </c>
      <c r="H397" s="24">
        <v>0</v>
      </c>
      <c r="I397" s="24">
        <v>3.7</v>
      </c>
      <c r="J397" s="24">
        <f t="shared" si="27"/>
        <v>22.41</v>
      </c>
      <c r="K397" s="24" t="s">
        <v>475</v>
      </c>
      <c r="L397" s="25">
        <f t="shared" si="32"/>
        <v>22.41</v>
      </c>
    </row>
    <row r="398" spans="1:12">
      <c r="A398" s="27">
        <v>46</v>
      </c>
      <c r="B398" s="45">
        <v>200943358</v>
      </c>
      <c r="C398" s="56" t="s">
        <v>415</v>
      </c>
      <c r="D398" s="66">
        <v>3.4</v>
      </c>
      <c r="E398" s="66">
        <v>4.2</v>
      </c>
      <c r="F398" s="24">
        <v>1.94</v>
      </c>
      <c r="G398" s="24">
        <v>0</v>
      </c>
      <c r="H398" s="24">
        <v>0</v>
      </c>
      <c r="I398" s="24">
        <v>3.25</v>
      </c>
      <c r="J398" s="24">
        <f t="shared" si="27"/>
        <v>12.790000000000001</v>
      </c>
      <c r="K398" s="24" t="s">
        <v>475</v>
      </c>
      <c r="L398" s="25">
        <f t="shared" si="32"/>
        <v>12.790000000000001</v>
      </c>
    </row>
    <row r="399" spans="1:12">
      <c r="A399" s="27">
        <v>47</v>
      </c>
      <c r="B399" s="45">
        <v>200943362</v>
      </c>
      <c r="C399" s="56" t="s">
        <v>416</v>
      </c>
      <c r="D399" s="66">
        <v>3.7</v>
      </c>
      <c r="E399" s="66">
        <v>6</v>
      </c>
      <c r="F399" s="24">
        <v>3.84</v>
      </c>
      <c r="G399" s="24">
        <v>0.67</v>
      </c>
      <c r="H399" s="24">
        <v>0</v>
      </c>
      <c r="I399" s="24">
        <v>3.5</v>
      </c>
      <c r="J399" s="24">
        <f t="shared" si="27"/>
        <v>17.71</v>
      </c>
      <c r="K399" s="24" t="s">
        <v>475</v>
      </c>
      <c r="L399" s="25">
        <f t="shared" si="32"/>
        <v>17.71</v>
      </c>
    </row>
    <row r="400" spans="1:12">
      <c r="A400" s="27">
        <v>48</v>
      </c>
      <c r="B400" s="45">
        <v>200943370</v>
      </c>
      <c r="C400" s="60" t="s">
        <v>417</v>
      </c>
      <c r="D400" s="66">
        <v>4.9000000000000004</v>
      </c>
      <c r="E400" s="66">
        <v>6.52</v>
      </c>
      <c r="F400" s="24">
        <v>5.09</v>
      </c>
      <c r="G400" s="24">
        <v>0</v>
      </c>
      <c r="H400" s="24">
        <v>0</v>
      </c>
      <c r="I400" s="24">
        <v>2.85</v>
      </c>
      <c r="J400" s="24">
        <f t="shared" si="27"/>
        <v>19.36</v>
      </c>
      <c r="K400" s="24" t="s">
        <v>475</v>
      </c>
      <c r="L400" s="25">
        <f t="shared" si="32"/>
        <v>19.36</v>
      </c>
    </row>
    <row r="401" spans="1:12">
      <c r="A401" s="27">
        <v>49</v>
      </c>
      <c r="B401" s="45">
        <v>200943372</v>
      </c>
      <c r="C401" s="60" t="s">
        <v>418</v>
      </c>
      <c r="D401" s="66">
        <v>4.3</v>
      </c>
      <c r="E401" s="66">
        <v>6.9</v>
      </c>
      <c r="F401" s="24">
        <v>2.54</v>
      </c>
      <c r="G401" s="24">
        <v>0.45</v>
      </c>
      <c r="H401" s="24">
        <v>5.0999999999999996</v>
      </c>
      <c r="I401" s="24">
        <v>4</v>
      </c>
      <c r="J401" s="24">
        <f t="shared" si="27"/>
        <v>23.290000000000003</v>
      </c>
      <c r="K401" s="24" t="s">
        <v>475</v>
      </c>
      <c r="L401" s="25">
        <f t="shared" si="32"/>
        <v>23.290000000000003</v>
      </c>
    </row>
    <row r="402" spans="1:12">
      <c r="A402" s="27">
        <v>50</v>
      </c>
      <c r="B402" s="45">
        <v>200943511</v>
      </c>
      <c r="C402" s="56" t="s">
        <v>419</v>
      </c>
      <c r="D402" s="66">
        <v>4.5999999999999996</v>
      </c>
      <c r="E402" s="66">
        <v>6.6</v>
      </c>
      <c r="F402" s="24">
        <v>6.99</v>
      </c>
      <c r="G402" s="24">
        <v>9.75</v>
      </c>
      <c r="H402" s="24">
        <v>12.9</v>
      </c>
      <c r="I402" s="24">
        <v>5</v>
      </c>
      <c r="J402" s="24">
        <f t="shared" si="27"/>
        <v>45.84</v>
      </c>
      <c r="K402" s="24">
        <v>10.199999999999999</v>
      </c>
      <c r="L402" s="25">
        <f t="shared" si="28"/>
        <v>56.040000000000006</v>
      </c>
    </row>
    <row r="403" spans="1:12">
      <c r="A403" s="27">
        <v>51</v>
      </c>
      <c r="B403" s="45">
        <v>200943638</v>
      </c>
      <c r="C403" s="60" t="s">
        <v>420</v>
      </c>
      <c r="D403" s="66">
        <v>3.4</v>
      </c>
      <c r="E403" s="66">
        <v>3.9</v>
      </c>
      <c r="F403" s="24">
        <v>2.94</v>
      </c>
      <c r="G403" s="24">
        <v>0</v>
      </c>
      <c r="H403" s="24">
        <v>0</v>
      </c>
      <c r="I403" s="24">
        <v>3.6</v>
      </c>
      <c r="J403" s="24">
        <f t="shared" si="27"/>
        <v>13.84</v>
      </c>
      <c r="K403" s="24" t="s">
        <v>475</v>
      </c>
      <c r="L403" s="25">
        <f>+J403</f>
        <v>13.84</v>
      </c>
    </row>
    <row r="404" spans="1:12">
      <c r="A404" s="27">
        <v>52</v>
      </c>
      <c r="B404" s="45">
        <v>200943718</v>
      </c>
      <c r="C404" s="60" t="s">
        <v>421</v>
      </c>
      <c r="D404" s="66">
        <v>5.65</v>
      </c>
      <c r="E404" s="66">
        <v>9.52</v>
      </c>
      <c r="F404" s="24">
        <v>3.82</v>
      </c>
      <c r="G404" s="24">
        <v>6.75</v>
      </c>
      <c r="H404" s="24">
        <v>10.5</v>
      </c>
      <c r="I404" s="24">
        <v>5</v>
      </c>
      <c r="J404" s="24">
        <f t="shared" si="27"/>
        <v>41.24</v>
      </c>
      <c r="K404" s="24">
        <v>3.8</v>
      </c>
      <c r="L404" s="25">
        <f>+K404+J404</f>
        <v>45.04</v>
      </c>
    </row>
    <row r="405" spans="1:12">
      <c r="A405" s="27">
        <v>53</v>
      </c>
      <c r="B405" s="45">
        <v>200944070</v>
      </c>
      <c r="C405" s="60" t="s">
        <v>422</v>
      </c>
      <c r="D405" s="66">
        <v>4.45</v>
      </c>
      <c r="E405" s="66">
        <v>0</v>
      </c>
      <c r="F405" s="24">
        <v>0</v>
      </c>
      <c r="G405" s="24">
        <v>0</v>
      </c>
      <c r="H405" s="24">
        <v>0</v>
      </c>
      <c r="I405" s="24">
        <v>0</v>
      </c>
      <c r="J405" s="24">
        <f t="shared" si="27"/>
        <v>4.45</v>
      </c>
      <c r="K405" s="24" t="s">
        <v>475</v>
      </c>
      <c r="L405" s="25">
        <f t="shared" ref="L405:L408" si="33">+J405</f>
        <v>4.45</v>
      </c>
    </row>
    <row r="406" spans="1:12">
      <c r="A406" s="27">
        <v>54</v>
      </c>
      <c r="B406" s="45">
        <v>200946028</v>
      </c>
      <c r="C406" s="60" t="s">
        <v>423</v>
      </c>
      <c r="D406" s="66">
        <v>1.95</v>
      </c>
      <c r="E406" s="66">
        <v>5.0999999999999996</v>
      </c>
      <c r="F406" s="24">
        <v>4.29</v>
      </c>
      <c r="G406" s="24">
        <v>0.6</v>
      </c>
      <c r="H406" s="24">
        <v>0</v>
      </c>
      <c r="I406" s="24">
        <v>2.1</v>
      </c>
      <c r="J406" s="24">
        <f t="shared" si="27"/>
        <v>14.04</v>
      </c>
      <c r="K406" s="24" t="s">
        <v>475</v>
      </c>
      <c r="L406" s="25">
        <f t="shared" si="33"/>
        <v>14.04</v>
      </c>
    </row>
    <row r="407" spans="1:12">
      <c r="A407" s="27">
        <v>55</v>
      </c>
      <c r="B407" s="45">
        <v>200980056</v>
      </c>
      <c r="C407" s="60" t="s">
        <v>424</v>
      </c>
      <c r="D407" s="66">
        <v>3.15</v>
      </c>
      <c r="E407" s="66">
        <v>4.2</v>
      </c>
      <c r="F407" s="24">
        <v>0</v>
      </c>
      <c r="G407" s="24">
        <v>0</v>
      </c>
      <c r="H407" s="24">
        <v>0</v>
      </c>
      <c r="I407" s="24">
        <v>0</v>
      </c>
      <c r="J407" s="24">
        <f t="shared" si="27"/>
        <v>7.35</v>
      </c>
      <c r="K407" s="24" t="s">
        <v>475</v>
      </c>
      <c r="L407" s="25">
        <f t="shared" si="33"/>
        <v>7.35</v>
      </c>
    </row>
    <row r="408" spans="1:12">
      <c r="A408" s="27">
        <v>56</v>
      </c>
      <c r="B408" s="45">
        <v>200946343</v>
      </c>
      <c r="C408" s="60" t="s">
        <v>425</v>
      </c>
      <c r="D408" s="66">
        <v>4.75</v>
      </c>
      <c r="E408" s="66">
        <v>7.5</v>
      </c>
      <c r="F408" s="24">
        <v>4.3</v>
      </c>
      <c r="G408" s="24">
        <v>3.6</v>
      </c>
      <c r="H408" s="24">
        <v>0</v>
      </c>
      <c r="I408" s="24">
        <v>3.3</v>
      </c>
      <c r="J408" s="24">
        <f t="shared" si="27"/>
        <v>23.45</v>
      </c>
      <c r="K408" s="24" t="s">
        <v>475</v>
      </c>
      <c r="L408" s="25">
        <f t="shared" si="33"/>
        <v>23.45</v>
      </c>
    </row>
    <row r="409" spans="1:12">
      <c r="A409" s="29"/>
      <c r="B409" s="29"/>
      <c r="C409" s="30"/>
      <c r="D409" s="31"/>
      <c r="E409" s="31"/>
      <c r="F409" s="31"/>
      <c r="G409" s="31"/>
      <c r="H409" s="31"/>
      <c r="I409" s="31"/>
      <c r="J409" s="31"/>
      <c r="K409" s="31"/>
      <c r="L409" s="32"/>
    </row>
    <row r="410" spans="1:12">
      <c r="A410" s="29"/>
      <c r="B410" s="29"/>
      <c r="C410" s="30"/>
      <c r="D410" s="31"/>
      <c r="E410" s="31"/>
      <c r="F410" s="31"/>
      <c r="G410" s="31"/>
      <c r="H410" s="31"/>
      <c r="I410" s="31"/>
      <c r="J410" s="31"/>
      <c r="K410" s="31"/>
      <c r="L410" s="32"/>
    </row>
    <row r="411" spans="1:12" ht="17.25" thickBot="1">
      <c r="A411" s="33"/>
      <c r="B411" s="33"/>
      <c r="C411" s="34"/>
      <c r="D411" s="31"/>
      <c r="E411" s="31"/>
      <c r="F411" s="31"/>
      <c r="G411" s="31"/>
      <c r="H411" s="35"/>
      <c r="I411" s="35"/>
      <c r="J411" s="35"/>
      <c r="K411" s="9"/>
      <c r="L411" s="32"/>
    </row>
    <row r="412" spans="1:12">
      <c r="H412" s="100" t="s">
        <v>447</v>
      </c>
      <c r="I412" s="100"/>
      <c r="J412" s="100"/>
      <c r="L412" s="1"/>
    </row>
    <row r="413" spans="1:12">
      <c r="D413" s="36"/>
      <c r="H413" s="100" t="s">
        <v>430</v>
      </c>
      <c r="I413" s="100"/>
      <c r="J413" s="100"/>
      <c r="L413" s="1"/>
    </row>
    <row r="414" spans="1:12">
      <c r="D414" s="36"/>
      <c r="H414" s="100" t="s">
        <v>448</v>
      </c>
      <c r="I414" s="100"/>
      <c r="J414" s="100"/>
      <c r="L414" s="1"/>
    </row>
    <row r="426" spans="1:9" ht="17.25" thickBot="1">
      <c r="A426" s="1" t="s">
        <v>0</v>
      </c>
      <c r="I426" s="3"/>
    </row>
    <row r="427" spans="1:9">
      <c r="A427" s="1" t="s">
        <v>1</v>
      </c>
      <c r="F427" s="4"/>
      <c r="G427" s="5"/>
      <c r="H427" s="6"/>
      <c r="I427" s="7"/>
    </row>
    <row r="428" spans="1:9">
      <c r="A428" s="8" t="s">
        <v>2</v>
      </c>
      <c r="B428" s="9"/>
      <c r="E428" s="7"/>
      <c r="F428" s="10"/>
      <c r="G428" s="11"/>
      <c r="H428" s="12"/>
      <c r="I428" s="7"/>
    </row>
    <row r="429" spans="1:9" ht="17.25" thickBot="1">
      <c r="A429" s="13" t="s">
        <v>3</v>
      </c>
      <c r="B429" s="9"/>
      <c r="E429" s="7"/>
      <c r="F429" s="10"/>
      <c r="G429" s="11"/>
      <c r="H429" s="12"/>
      <c r="I429" s="7"/>
    </row>
    <row r="430" spans="1:9" ht="17.25" thickBot="1">
      <c r="A430" s="14" t="s">
        <v>22</v>
      </c>
      <c r="B430" s="15"/>
      <c r="C430" s="16"/>
      <c r="E430" s="7"/>
      <c r="F430" s="17"/>
      <c r="G430" s="18"/>
      <c r="H430" s="19"/>
      <c r="I430" s="7"/>
    </row>
    <row r="431" spans="1:9">
      <c r="A431" s="8"/>
      <c r="B431" s="9"/>
      <c r="E431" s="7"/>
      <c r="I431" s="3"/>
    </row>
    <row r="432" spans="1:9">
      <c r="A432" s="1" t="s">
        <v>91</v>
      </c>
      <c r="B432" s="9"/>
      <c r="C432" s="20" t="s">
        <v>300</v>
      </c>
      <c r="E432" s="7"/>
      <c r="I432" s="3"/>
    </row>
    <row r="433" spans="1:12">
      <c r="A433" s="1" t="s">
        <v>4</v>
      </c>
      <c r="C433" s="20" t="s">
        <v>445</v>
      </c>
      <c r="I433" s="3"/>
    </row>
    <row r="434" spans="1:12">
      <c r="A434" s="1" t="s">
        <v>5</v>
      </c>
      <c r="C434" s="20" t="s">
        <v>100</v>
      </c>
    </row>
    <row r="435" spans="1:12">
      <c r="A435" s="21"/>
      <c r="B435" s="21"/>
      <c r="C435" s="21"/>
      <c r="D435" s="21"/>
      <c r="E435" s="21"/>
      <c r="F435" s="21"/>
      <c r="G435" s="21"/>
      <c r="H435" s="21"/>
      <c r="I435" s="21"/>
      <c r="J435" s="21"/>
    </row>
    <row r="436" spans="1:12">
      <c r="A436" s="1"/>
      <c r="C436" s="22" t="s">
        <v>6</v>
      </c>
      <c r="D436" s="22" t="s">
        <v>93</v>
      </c>
      <c r="E436" s="22" t="s">
        <v>93</v>
      </c>
      <c r="F436" s="22" t="s">
        <v>93</v>
      </c>
      <c r="G436" s="22" t="s">
        <v>93</v>
      </c>
      <c r="H436" s="22" t="s">
        <v>93</v>
      </c>
      <c r="I436" s="22" t="s">
        <v>94</v>
      </c>
      <c r="J436" s="22" t="s">
        <v>8</v>
      </c>
      <c r="K436" s="22" t="s">
        <v>7</v>
      </c>
      <c r="L436" s="22" t="s">
        <v>9</v>
      </c>
    </row>
    <row r="437" spans="1:12">
      <c r="A437" s="22" t="s">
        <v>10</v>
      </c>
      <c r="B437" s="22" t="s">
        <v>11</v>
      </c>
      <c r="C437" s="22" t="s">
        <v>12</v>
      </c>
      <c r="D437" s="22" t="s">
        <v>13</v>
      </c>
      <c r="E437" s="22" t="s">
        <v>14</v>
      </c>
      <c r="F437" s="22" t="s">
        <v>15</v>
      </c>
      <c r="G437" s="22" t="s">
        <v>16</v>
      </c>
      <c r="H437" s="22" t="s">
        <v>17</v>
      </c>
      <c r="I437" s="22" t="s">
        <v>95</v>
      </c>
      <c r="J437" s="22" t="s">
        <v>18</v>
      </c>
      <c r="K437" s="22" t="s">
        <v>19</v>
      </c>
      <c r="L437" s="22" t="s">
        <v>20</v>
      </c>
    </row>
    <row r="438" spans="1:12">
      <c r="A438" s="23">
        <v>1</v>
      </c>
      <c r="B438" s="45">
        <v>200617648</v>
      </c>
      <c r="C438" s="56" t="s">
        <v>302</v>
      </c>
      <c r="D438" s="66">
        <v>7</v>
      </c>
      <c r="E438" s="66">
        <v>9.5500000000000007</v>
      </c>
      <c r="F438" s="66">
        <v>7.28</v>
      </c>
      <c r="G438" s="24">
        <v>1.62</v>
      </c>
      <c r="H438" s="24">
        <v>6.92</v>
      </c>
      <c r="I438" s="24">
        <v>3</v>
      </c>
      <c r="J438" s="24">
        <f>+I438+H438+G438+F438+E438+D438</f>
        <v>35.370000000000005</v>
      </c>
      <c r="K438" s="24" t="s">
        <v>475</v>
      </c>
      <c r="L438" s="25">
        <v>35.270000000000003</v>
      </c>
    </row>
    <row r="439" spans="1:12">
      <c r="A439" s="26">
        <v>2</v>
      </c>
      <c r="B439" s="45">
        <v>200741790</v>
      </c>
      <c r="C439" s="56" t="s">
        <v>303</v>
      </c>
      <c r="D439" s="66">
        <v>4.75</v>
      </c>
      <c r="E439" s="66">
        <v>0.1</v>
      </c>
      <c r="F439" s="66">
        <v>3.97</v>
      </c>
      <c r="G439" s="24">
        <v>0.9</v>
      </c>
      <c r="H439" s="24">
        <v>0</v>
      </c>
      <c r="I439" s="24">
        <v>3.25</v>
      </c>
      <c r="J439" s="24">
        <f t="shared" ref="J439:J498" si="34">+I439+H439+G439+F439+E439+D439</f>
        <v>12.97</v>
      </c>
      <c r="K439" s="24" t="s">
        <v>475</v>
      </c>
      <c r="L439" s="25">
        <f>+J439</f>
        <v>12.97</v>
      </c>
    </row>
    <row r="440" spans="1:12">
      <c r="A440" s="27">
        <v>3</v>
      </c>
      <c r="B440" s="45">
        <v>200741812</v>
      </c>
      <c r="C440" s="56" t="s">
        <v>304</v>
      </c>
      <c r="D440" s="66">
        <v>7</v>
      </c>
      <c r="E440" s="66">
        <v>6.12</v>
      </c>
      <c r="F440" s="66">
        <v>10.09</v>
      </c>
      <c r="G440" s="24">
        <v>6.75</v>
      </c>
      <c r="H440" s="24">
        <v>4.8499999999999996</v>
      </c>
      <c r="I440" s="24">
        <v>4.25</v>
      </c>
      <c r="J440" s="24">
        <f t="shared" si="34"/>
        <v>39.059999999999995</v>
      </c>
      <c r="K440" s="24" t="s">
        <v>475</v>
      </c>
      <c r="L440" s="25">
        <f>+J440</f>
        <v>39.059999999999995</v>
      </c>
    </row>
    <row r="441" spans="1:12">
      <c r="A441" s="27">
        <v>4</v>
      </c>
      <c r="B441" s="77">
        <v>200741815</v>
      </c>
      <c r="C441" s="78" t="s">
        <v>305</v>
      </c>
      <c r="D441" s="66">
        <v>7.7</v>
      </c>
      <c r="E441" s="66">
        <v>7.7</v>
      </c>
      <c r="F441" s="66">
        <v>11.05</v>
      </c>
      <c r="G441" s="24">
        <v>6.87</v>
      </c>
      <c r="H441" s="24">
        <v>8</v>
      </c>
      <c r="I441" s="24">
        <v>5</v>
      </c>
      <c r="J441" s="24">
        <f t="shared" si="34"/>
        <v>46.320000000000007</v>
      </c>
      <c r="K441" s="24">
        <v>6.65</v>
      </c>
      <c r="L441" s="25">
        <f t="shared" ref="L441:L483" si="35">+K441+J441</f>
        <v>52.970000000000006</v>
      </c>
    </row>
    <row r="442" spans="1:12">
      <c r="A442" s="26">
        <v>5</v>
      </c>
      <c r="B442" s="45">
        <v>200742802</v>
      </c>
      <c r="C442" s="56" t="s">
        <v>307</v>
      </c>
      <c r="D442" s="66">
        <v>9.1</v>
      </c>
      <c r="E442" s="66">
        <v>9.51</v>
      </c>
      <c r="F442" s="66">
        <v>10.27</v>
      </c>
      <c r="G442" s="24">
        <v>5.55</v>
      </c>
      <c r="H442" s="24">
        <v>0</v>
      </c>
      <c r="I442" s="24">
        <v>2.75</v>
      </c>
      <c r="J442" s="24">
        <f t="shared" si="34"/>
        <v>37.18</v>
      </c>
      <c r="K442" s="24" t="s">
        <v>475</v>
      </c>
      <c r="L442" s="25">
        <f>+J442</f>
        <v>37.18</v>
      </c>
    </row>
    <row r="443" spans="1:12">
      <c r="A443" s="26">
        <v>6</v>
      </c>
      <c r="B443" s="45">
        <v>200821585</v>
      </c>
      <c r="C443" s="59" t="s">
        <v>308</v>
      </c>
      <c r="D443" s="66">
        <v>2.0499999999999998</v>
      </c>
      <c r="E443" s="66">
        <v>1.4</v>
      </c>
      <c r="F443" s="66">
        <v>1.1200000000000001</v>
      </c>
      <c r="G443" s="24">
        <v>0</v>
      </c>
      <c r="H443" s="24">
        <v>0</v>
      </c>
      <c r="I443" s="24">
        <v>3</v>
      </c>
      <c r="J443" s="24">
        <f t="shared" si="34"/>
        <v>7.5699999999999994</v>
      </c>
      <c r="K443" s="24" t="s">
        <v>475</v>
      </c>
      <c r="L443" s="25">
        <f t="shared" ref="L443:L444" si="36">+J443</f>
        <v>7.5699999999999994</v>
      </c>
    </row>
    <row r="444" spans="1:12">
      <c r="A444" s="26">
        <v>7</v>
      </c>
      <c r="B444" s="45">
        <v>200840049</v>
      </c>
      <c r="C444" s="56" t="s">
        <v>309</v>
      </c>
      <c r="D444" s="66">
        <v>7.6</v>
      </c>
      <c r="E444" s="66">
        <v>5.41</v>
      </c>
      <c r="F444" s="66">
        <v>5.6</v>
      </c>
      <c r="G444" s="24">
        <v>5.12</v>
      </c>
      <c r="H444" s="24">
        <v>6.67</v>
      </c>
      <c r="I444" s="24">
        <v>4</v>
      </c>
      <c r="J444" s="24">
        <f t="shared" si="34"/>
        <v>34.4</v>
      </c>
      <c r="K444" s="24" t="s">
        <v>475</v>
      </c>
      <c r="L444" s="25">
        <f t="shared" si="36"/>
        <v>34.4</v>
      </c>
    </row>
    <row r="445" spans="1:12">
      <c r="A445" s="26">
        <v>8</v>
      </c>
      <c r="B445" s="45">
        <v>200840151</v>
      </c>
      <c r="C445" s="60" t="s">
        <v>310</v>
      </c>
      <c r="D445" s="66">
        <v>11.8</v>
      </c>
      <c r="E445" s="66">
        <v>12.78</v>
      </c>
      <c r="F445" s="66">
        <v>13.42</v>
      </c>
      <c r="G445" s="24">
        <v>13.97</v>
      </c>
      <c r="H445" s="24">
        <v>12.5</v>
      </c>
      <c r="I445" s="24">
        <v>5</v>
      </c>
      <c r="J445" s="24">
        <f t="shared" si="34"/>
        <v>69.47</v>
      </c>
      <c r="K445" s="24">
        <v>16.73</v>
      </c>
      <c r="L445" s="25">
        <f t="shared" si="35"/>
        <v>86.2</v>
      </c>
    </row>
    <row r="446" spans="1:12">
      <c r="A446" s="26">
        <v>9</v>
      </c>
      <c r="B446" s="45">
        <v>200840154</v>
      </c>
      <c r="C446" s="56" t="s">
        <v>311</v>
      </c>
      <c r="D446" s="66">
        <v>10.3</v>
      </c>
      <c r="E446" s="66">
        <v>11.04</v>
      </c>
      <c r="F446" s="66">
        <v>13.87</v>
      </c>
      <c r="G446" s="24">
        <v>7.2</v>
      </c>
      <c r="H446" s="24">
        <v>13.15</v>
      </c>
      <c r="I446" s="24">
        <v>5</v>
      </c>
      <c r="J446" s="24">
        <f t="shared" si="34"/>
        <v>60.56</v>
      </c>
      <c r="K446" s="24">
        <v>5.55</v>
      </c>
      <c r="L446" s="25">
        <f t="shared" si="35"/>
        <v>66.11</v>
      </c>
    </row>
    <row r="447" spans="1:12">
      <c r="A447" s="26">
        <v>10</v>
      </c>
      <c r="B447" s="45">
        <v>200840225</v>
      </c>
      <c r="C447" s="60" t="s">
        <v>312</v>
      </c>
      <c r="D447" s="66">
        <v>4.45</v>
      </c>
      <c r="E447" s="66">
        <v>4.5999999999999996</v>
      </c>
      <c r="F447" s="66">
        <v>7.6</v>
      </c>
      <c r="G447" s="24">
        <f>+H447</f>
        <v>7.42</v>
      </c>
      <c r="H447" s="24">
        <v>7.42</v>
      </c>
      <c r="I447" s="24">
        <v>1.25</v>
      </c>
      <c r="J447" s="24">
        <f t="shared" si="34"/>
        <v>32.74</v>
      </c>
      <c r="K447" s="24" t="s">
        <v>475</v>
      </c>
      <c r="L447" s="25">
        <f>+J447</f>
        <v>32.74</v>
      </c>
    </row>
    <row r="448" spans="1:12">
      <c r="A448" s="26">
        <v>11</v>
      </c>
      <c r="B448" s="45">
        <v>200841793</v>
      </c>
      <c r="C448" s="56" t="s">
        <v>313</v>
      </c>
      <c r="D448" s="66">
        <v>3.1</v>
      </c>
      <c r="E448" s="66">
        <v>3.56</v>
      </c>
      <c r="F448" s="66">
        <v>2.59</v>
      </c>
      <c r="G448" s="24">
        <v>0</v>
      </c>
      <c r="H448" s="24">
        <v>0</v>
      </c>
      <c r="I448" s="24">
        <v>2.5</v>
      </c>
      <c r="J448" s="24">
        <f t="shared" si="34"/>
        <v>11.75</v>
      </c>
      <c r="K448" s="24" t="s">
        <v>475</v>
      </c>
      <c r="L448" s="25">
        <f t="shared" ref="L448:L451" si="37">+J448</f>
        <v>11.75</v>
      </c>
    </row>
    <row r="449" spans="1:12">
      <c r="A449" s="26">
        <v>12</v>
      </c>
      <c r="B449" s="45">
        <v>200842036</v>
      </c>
      <c r="C449" s="59" t="s">
        <v>314</v>
      </c>
      <c r="D449" s="66">
        <v>4.2</v>
      </c>
      <c r="E449" s="66">
        <v>6.26</v>
      </c>
      <c r="F449" s="66">
        <v>6.26</v>
      </c>
      <c r="G449" s="24">
        <v>0</v>
      </c>
      <c r="H449" s="28">
        <v>0</v>
      </c>
      <c r="I449" s="28">
        <v>1.75</v>
      </c>
      <c r="J449" s="24">
        <f t="shared" si="34"/>
        <v>18.47</v>
      </c>
      <c r="K449" s="24" t="s">
        <v>475</v>
      </c>
      <c r="L449" s="25">
        <f t="shared" si="37"/>
        <v>18.47</v>
      </c>
    </row>
    <row r="450" spans="1:12">
      <c r="A450" s="26">
        <v>13</v>
      </c>
      <c r="B450" s="45">
        <v>200842047</v>
      </c>
      <c r="C450" s="56" t="s">
        <v>315</v>
      </c>
      <c r="D450" s="66">
        <v>3.25</v>
      </c>
      <c r="E450" s="66">
        <v>4.3</v>
      </c>
      <c r="F450" s="66">
        <v>2.5</v>
      </c>
      <c r="G450" s="24">
        <v>0.45</v>
      </c>
      <c r="H450" s="28">
        <v>2.1</v>
      </c>
      <c r="I450" s="28">
        <v>4.5</v>
      </c>
      <c r="J450" s="24">
        <f t="shared" si="34"/>
        <v>17.100000000000001</v>
      </c>
      <c r="K450" s="24" t="s">
        <v>475</v>
      </c>
      <c r="L450" s="25">
        <f t="shared" si="37"/>
        <v>17.100000000000001</v>
      </c>
    </row>
    <row r="451" spans="1:12">
      <c r="A451" s="26">
        <v>14</v>
      </c>
      <c r="B451" s="45">
        <v>200842050</v>
      </c>
      <c r="C451" s="56" t="s">
        <v>316</v>
      </c>
      <c r="D451" s="66">
        <v>6.55</v>
      </c>
      <c r="E451" s="66">
        <v>8.23</v>
      </c>
      <c r="F451" s="66">
        <v>9.8800000000000008</v>
      </c>
      <c r="G451" s="24">
        <v>0</v>
      </c>
      <c r="H451" s="28">
        <v>0</v>
      </c>
      <c r="I451" s="28">
        <v>3</v>
      </c>
      <c r="J451" s="24">
        <f t="shared" si="34"/>
        <v>27.66</v>
      </c>
      <c r="K451" s="24" t="s">
        <v>475</v>
      </c>
      <c r="L451" s="25">
        <f t="shared" si="37"/>
        <v>27.66</v>
      </c>
    </row>
    <row r="452" spans="1:12">
      <c r="A452" s="23">
        <v>15</v>
      </c>
      <c r="B452" s="45">
        <v>200842059</v>
      </c>
      <c r="C452" s="59" t="s">
        <v>317</v>
      </c>
      <c r="D452" s="66">
        <v>11.13</v>
      </c>
      <c r="E452" s="66">
        <v>11.67</v>
      </c>
      <c r="F452" s="66">
        <v>8.0500000000000007</v>
      </c>
      <c r="G452" s="24">
        <v>9.5</v>
      </c>
      <c r="H452" s="28">
        <v>10.45</v>
      </c>
      <c r="I452" s="28">
        <v>5</v>
      </c>
      <c r="J452" s="24">
        <f t="shared" si="34"/>
        <v>55.800000000000004</v>
      </c>
      <c r="K452" s="24">
        <v>5.65</v>
      </c>
      <c r="L452" s="25">
        <f t="shared" si="35"/>
        <v>61.45</v>
      </c>
    </row>
    <row r="453" spans="1:12">
      <c r="A453" s="23">
        <v>16</v>
      </c>
      <c r="B453" s="45">
        <v>200842062</v>
      </c>
      <c r="C453" s="56" t="s">
        <v>318</v>
      </c>
      <c r="D453" s="66">
        <v>12.3</v>
      </c>
      <c r="E453" s="66">
        <v>13.76</v>
      </c>
      <c r="F453" s="66">
        <v>12.82</v>
      </c>
      <c r="G453" s="24">
        <v>10.95</v>
      </c>
      <c r="H453" s="24">
        <v>10.4</v>
      </c>
      <c r="I453" s="24">
        <v>4.5</v>
      </c>
      <c r="J453" s="24">
        <f t="shared" si="34"/>
        <v>64.73</v>
      </c>
      <c r="K453" s="24">
        <v>15.85</v>
      </c>
      <c r="L453" s="25">
        <f t="shared" si="35"/>
        <v>80.58</v>
      </c>
    </row>
    <row r="454" spans="1:12">
      <c r="A454" s="23">
        <v>17</v>
      </c>
      <c r="B454" s="45">
        <v>200842072</v>
      </c>
      <c r="C454" s="56" t="s">
        <v>319</v>
      </c>
      <c r="D454" s="66">
        <v>6.85</v>
      </c>
      <c r="E454" s="66">
        <v>6.72</v>
      </c>
      <c r="F454" s="66">
        <v>7.6</v>
      </c>
      <c r="G454" s="24">
        <v>5.22</v>
      </c>
      <c r="H454" s="24">
        <v>10.95</v>
      </c>
      <c r="I454" s="24">
        <v>5</v>
      </c>
      <c r="J454" s="24">
        <f t="shared" si="34"/>
        <v>42.339999999999996</v>
      </c>
      <c r="K454" s="24">
        <v>6.45</v>
      </c>
      <c r="L454" s="25">
        <f t="shared" si="35"/>
        <v>48.79</v>
      </c>
    </row>
    <row r="455" spans="1:12">
      <c r="A455" s="23">
        <v>18</v>
      </c>
      <c r="B455" s="45">
        <v>200842078</v>
      </c>
      <c r="C455" s="56" t="s">
        <v>320</v>
      </c>
      <c r="D455" s="66">
        <v>10.83</v>
      </c>
      <c r="E455" s="66">
        <v>9.6</v>
      </c>
      <c r="F455" s="66">
        <v>7.9</v>
      </c>
      <c r="G455" s="24">
        <v>7.9</v>
      </c>
      <c r="H455" s="24">
        <v>5.3</v>
      </c>
      <c r="I455" s="24">
        <v>5</v>
      </c>
      <c r="J455" s="24">
        <f t="shared" si="34"/>
        <v>46.53</v>
      </c>
      <c r="K455" s="24">
        <v>8.4</v>
      </c>
      <c r="L455" s="25">
        <f t="shared" si="35"/>
        <v>54.93</v>
      </c>
    </row>
    <row r="456" spans="1:12">
      <c r="A456" s="27">
        <v>19</v>
      </c>
      <c r="B456" s="45">
        <v>200842088</v>
      </c>
      <c r="C456" s="59" t="s">
        <v>321</v>
      </c>
      <c r="D456" s="66">
        <v>6.4</v>
      </c>
      <c r="E456" s="66">
        <v>4.9800000000000004</v>
      </c>
      <c r="F456" s="66">
        <v>3.34</v>
      </c>
      <c r="G456" s="24">
        <v>0.9</v>
      </c>
      <c r="H456" s="24">
        <v>0</v>
      </c>
      <c r="I456" s="24">
        <v>2</v>
      </c>
      <c r="J456" s="24">
        <f t="shared" si="34"/>
        <v>17.62</v>
      </c>
      <c r="K456" s="24" t="s">
        <v>475</v>
      </c>
      <c r="L456" s="25">
        <f>+J456</f>
        <v>17.62</v>
      </c>
    </row>
    <row r="457" spans="1:12">
      <c r="A457" s="27">
        <v>20</v>
      </c>
      <c r="B457" s="45">
        <v>200842091</v>
      </c>
      <c r="C457" s="60" t="s">
        <v>322</v>
      </c>
      <c r="D457" s="66">
        <v>4.2</v>
      </c>
      <c r="E457" s="66">
        <v>5.58</v>
      </c>
      <c r="F457" s="66">
        <v>4.6900000000000004</v>
      </c>
      <c r="G457" s="24">
        <v>0</v>
      </c>
      <c r="H457" s="24">
        <v>0</v>
      </c>
      <c r="I457" s="24">
        <v>2.25</v>
      </c>
      <c r="J457" s="24">
        <f t="shared" si="34"/>
        <v>16.72</v>
      </c>
      <c r="K457" s="24" t="s">
        <v>475</v>
      </c>
      <c r="L457" s="25">
        <f t="shared" ref="L457:L462" si="38">+J457</f>
        <v>16.72</v>
      </c>
    </row>
    <row r="458" spans="1:12">
      <c r="A458" s="27">
        <v>21</v>
      </c>
      <c r="B458" s="45">
        <v>200842106</v>
      </c>
      <c r="C458" s="56" t="s">
        <v>323</v>
      </c>
      <c r="D458" s="66">
        <v>3.55</v>
      </c>
      <c r="E458" s="66">
        <v>1.56</v>
      </c>
      <c r="F458" s="66">
        <v>2.59</v>
      </c>
      <c r="G458" s="24">
        <v>0</v>
      </c>
      <c r="H458" s="24">
        <v>1.8</v>
      </c>
      <c r="I458" s="24">
        <v>3.25</v>
      </c>
      <c r="J458" s="24">
        <f t="shared" si="34"/>
        <v>12.75</v>
      </c>
      <c r="K458" s="24" t="s">
        <v>475</v>
      </c>
      <c r="L458" s="25">
        <f t="shared" si="38"/>
        <v>12.75</v>
      </c>
    </row>
    <row r="459" spans="1:12">
      <c r="A459" s="27">
        <v>22</v>
      </c>
      <c r="B459" s="45">
        <v>200842108</v>
      </c>
      <c r="C459" s="56" t="s">
        <v>324</v>
      </c>
      <c r="D459" s="66">
        <v>4.2</v>
      </c>
      <c r="E459" s="66">
        <v>6.2</v>
      </c>
      <c r="F459" s="66">
        <v>0</v>
      </c>
      <c r="G459" s="24">
        <v>3.83</v>
      </c>
      <c r="H459" s="24">
        <v>0</v>
      </c>
      <c r="I459" s="24">
        <v>1.5</v>
      </c>
      <c r="J459" s="24">
        <f t="shared" si="34"/>
        <v>15.73</v>
      </c>
      <c r="K459" s="24" t="s">
        <v>475</v>
      </c>
      <c r="L459" s="25">
        <f t="shared" si="38"/>
        <v>15.73</v>
      </c>
    </row>
    <row r="460" spans="1:12">
      <c r="A460" s="27">
        <v>23</v>
      </c>
      <c r="B460" s="45">
        <v>200842128</v>
      </c>
      <c r="C460" s="58" t="s">
        <v>325</v>
      </c>
      <c r="D460" s="66">
        <v>3.4</v>
      </c>
      <c r="E460" s="66">
        <v>6.56</v>
      </c>
      <c r="F460" s="66">
        <v>4.24</v>
      </c>
      <c r="G460" s="24">
        <v>0.15</v>
      </c>
      <c r="H460" s="24">
        <v>0</v>
      </c>
      <c r="I460" s="24">
        <v>2.5</v>
      </c>
      <c r="J460" s="24">
        <f t="shared" si="34"/>
        <v>16.849999999999998</v>
      </c>
      <c r="K460" s="24" t="s">
        <v>475</v>
      </c>
      <c r="L460" s="25">
        <f t="shared" si="38"/>
        <v>16.849999999999998</v>
      </c>
    </row>
    <row r="461" spans="1:12">
      <c r="A461" s="27">
        <v>24</v>
      </c>
      <c r="B461" s="45">
        <v>200842131</v>
      </c>
      <c r="C461" s="56" t="s">
        <v>326</v>
      </c>
      <c r="D461" s="66">
        <v>7.35</v>
      </c>
      <c r="E461" s="66">
        <v>9.36</v>
      </c>
      <c r="F461" s="66">
        <v>12.25</v>
      </c>
      <c r="G461" s="24">
        <v>6.15</v>
      </c>
      <c r="H461" s="24">
        <v>10.37</v>
      </c>
      <c r="I461" s="24">
        <v>3</v>
      </c>
      <c r="J461" s="24">
        <f t="shared" si="34"/>
        <v>48.48</v>
      </c>
      <c r="K461" s="24">
        <v>7.6</v>
      </c>
      <c r="L461" s="25">
        <f>+K461+J461</f>
        <v>56.08</v>
      </c>
    </row>
    <row r="462" spans="1:12">
      <c r="A462" s="27">
        <v>25</v>
      </c>
      <c r="B462" s="45">
        <v>200842211</v>
      </c>
      <c r="C462" s="56" t="s">
        <v>328</v>
      </c>
      <c r="D462" s="66">
        <v>5.35</v>
      </c>
      <c r="E462" s="66">
        <v>5.58</v>
      </c>
      <c r="F462" s="66">
        <v>6.34</v>
      </c>
      <c r="G462" s="24">
        <v>2.92</v>
      </c>
      <c r="H462" s="24">
        <v>5.27</v>
      </c>
      <c r="I462" s="24">
        <v>4.75</v>
      </c>
      <c r="J462" s="24">
        <f t="shared" si="34"/>
        <v>30.21</v>
      </c>
      <c r="K462" s="24" t="s">
        <v>475</v>
      </c>
      <c r="L462" s="25">
        <f t="shared" si="38"/>
        <v>30.21</v>
      </c>
    </row>
    <row r="463" spans="1:12">
      <c r="A463" s="27">
        <v>26</v>
      </c>
      <c r="B463" s="45">
        <v>200842251</v>
      </c>
      <c r="C463" s="56" t="s">
        <v>329</v>
      </c>
      <c r="D463" s="66">
        <v>9.0299999999999994</v>
      </c>
      <c r="E463" s="66">
        <v>11.6</v>
      </c>
      <c r="F463" s="66">
        <v>11.35</v>
      </c>
      <c r="G463" s="24">
        <v>11.22</v>
      </c>
      <c r="H463" s="24">
        <v>12.22</v>
      </c>
      <c r="I463" s="24">
        <v>5</v>
      </c>
      <c r="J463" s="24">
        <f t="shared" si="34"/>
        <v>60.42</v>
      </c>
      <c r="K463" s="24">
        <v>8</v>
      </c>
      <c r="L463" s="25">
        <f t="shared" si="35"/>
        <v>68.42</v>
      </c>
    </row>
    <row r="464" spans="1:12">
      <c r="A464" s="27">
        <v>27</v>
      </c>
      <c r="B464" s="45">
        <v>200843352</v>
      </c>
      <c r="C464" s="60" t="s">
        <v>330</v>
      </c>
      <c r="D464" s="66">
        <v>5.73</v>
      </c>
      <c r="E464" s="66">
        <v>6.84</v>
      </c>
      <c r="F464" s="66">
        <v>5.74</v>
      </c>
      <c r="G464" s="24">
        <v>1.77</v>
      </c>
      <c r="H464" s="24">
        <v>0</v>
      </c>
      <c r="I464" s="24">
        <v>2.75</v>
      </c>
      <c r="J464" s="24">
        <f t="shared" si="34"/>
        <v>22.830000000000002</v>
      </c>
      <c r="K464" s="24" t="s">
        <v>475</v>
      </c>
      <c r="L464" s="25">
        <f>+J464</f>
        <v>22.830000000000002</v>
      </c>
    </row>
    <row r="465" spans="1:12">
      <c r="A465" s="27">
        <v>28</v>
      </c>
      <c r="B465" s="45">
        <v>200843401</v>
      </c>
      <c r="C465" s="56" t="s">
        <v>331</v>
      </c>
      <c r="D465" s="66">
        <v>3.1</v>
      </c>
      <c r="E465" s="66">
        <v>2.87</v>
      </c>
      <c r="F465" s="66">
        <v>2.88</v>
      </c>
      <c r="G465" s="24">
        <v>0</v>
      </c>
      <c r="H465" s="24">
        <v>1.58</v>
      </c>
      <c r="I465" s="24">
        <v>5</v>
      </c>
      <c r="J465" s="24">
        <f t="shared" si="34"/>
        <v>15.430000000000001</v>
      </c>
      <c r="K465" s="24" t="s">
        <v>475</v>
      </c>
      <c r="L465" s="25">
        <f t="shared" ref="L465:L466" si="39">+J465</f>
        <v>15.430000000000001</v>
      </c>
    </row>
    <row r="466" spans="1:12">
      <c r="A466" s="27">
        <v>29</v>
      </c>
      <c r="B466" s="45">
        <v>200843480</v>
      </c>
      <c r="C466" s="56" t="s">
        <v>332</v>
      </c>
      <c r="D466" s="66">
        <v>5.4</v>
      </c>
      <c r="E466" s="66">
        <v>6.6</v>
      </c>
      <c r="F466" s="66">
        <v>8.44</v>
      </c>
      <c r="G466" s="24">
        <v>5.18</v>
      </c>
      <c r="H466" s="24">
        <v>10.050000000000001</v>
      </c>
      <c r="I466" s="24">
        <v>4.75</v>
      </c>
      <c r="J466" s="24">
        <f t="shared" si="34"/>
        <v>40.42</v>
      </c>
      <c r="K466" s="24" t="s">
        <v>475</v>
      </c>
      <c r="L466" s="25">
        <f t="shared" si="39"/>
        <v>40.42</v>
      </c>
    </row>
    <row r="467" spans="1:12">
      <c r="A467" s="27">
        <v>30</v>
      </c>
      <c r="B467" s="45">
        <v>200844524</v>
      </c>
      <c r="C467" s="56" t="s">
        <v>333</v>
      </c>
      <c r="D467" s="66">
        <v>7.82</v>
      </c>
      <c r="E467" s="66">
        <v>6.82</v>
      </c>
      <c r="F467" s="66">
        <v>6.97</v>
      </c>
      <c r="G467" s="24">
        <v>8.5500000000000007</v>
      </c>
      <c r="H467" s="24">
        <v>8.1999999999999993</v>
      </c>
      <c r="I467" s="24">
        <v>5</v>
      </c>
      <c r="J467" s="24">
        <f t="shared" si="34"/>
        <v>43.36</v>
      </c>
      <c r="K467" s="24">
        <v>7.3</v>
      </c>
      <c r="L467" s="25">
        <f t="shared" si="35"/>
        <v>50.66</v>
      </c>
    </row>
    <row r="468" spans="1:12">
      <c r="A468" s="27">
        <v>31</v>
      </c>
      <c r="B468" s="45">
        <v>200940329</v>
      </c>
      <c r="C468" s="56" t="s">
        <v>334</v>
      </c>
      <c r="D468" s="66">
        <v>4.5999999999999996</v>
      </c>
      <c r="E468" s="66">
        <v>10.67</v>
      </c>
      <c r="F468" s="66">
        <v>6.33</v>
      </c>
      <c r="G468" s="24">
        <v>5.7</v>
      </c>
      <c r="H468" s="24">
        <v>11.63</v>
      </c>
      <c r="I468" s="24">
        <v>5</v>
      </c>
      <c r="J468" s="24">
        <f t="shared" si="34"/>
        <v>43.930000000000007</v>
      </c>
      <c r="K468" s="24">
        <v>5.65</v>
      </c>
      <c r="L468" s="25">
        <f t="shared" si="35"/>
        <v>49.580000000000005</v>
      </c>
    </row>
    <row r="469" spans="1:12">
      <c r="A469" s="27">
        <v>32</v>
      </c>
      <c r="B469" s="45">
        <v>200940434</v>
      </c>
      <c r="C469" s="60" t="s">
        <v>335</v>
      </c>
      <c r="D469" s="66">
        <v>4.6500000000000004</v>
      </c>
      <c r="E469" s="66">
        <v>12</v>
      </c>
      <c r="F469" s="66">
        <v>8.18</v>
      </c>
      <c r="G469" s="24">
        <v>7.8</v>
      </c>
      <c r="H469" s="24">
        <v>10</v>
      </c>
      <c r="I469" s="24">
        <v>4.5</v>
      </c>
      <c r="J469" s="24">
        <f t="shared" si="34"/>
        <v>47.13</v>
      </c>
      <c r="K469" s="24">
        <v>13.6</v>
      </c>
      <c r="L469" s="25">
        <f>+K469+J469</f>
        <v>60.730000000000004</v>
      </c>
    </row>
    <row r="470" spans="1:12">
      <c r="A470" s="27">
        <v>33</v>
      </c>
      <c r="B470" s="45">
        <v>200940498</v>
      </c>
      <c r="C470" s="56" t="s">
        <v>336</v>
      </c>
      <c r="D470" s="66">
        <v>4.5</v>
      </c>
      <c r="E470" s="66">
        <v>6.75</v>
      </c>
      <c r="F470" s="66">
        <v>7.05</v>
      </c>
      <c r="G470" s="24">
        <v>7.55</v>
      </c>
      <c r="H470" s="24">
        <v>9.9499999999999993</v>
      </c>
      <c r="I470" s="24">
        <v>4.5</v>
      </c>
      <c r="J470" s="24">
        <f t="shared" si="34"/>
        <v>40.299999999999997</v>
      </c>
      <c r="K470" s="24" t="s">
        <v>475</v>
      </c>
      <c r="L470" s="25">
        <f t="shared" ref="L470:L482" si="40">+J470</f>
        <v>40.299999999999997</v>
      </c>
    </row>
    <row r="471" spans="1:12">
      <c r="A471" s="27">
        <v>34</v>
      </c>
      <c r="B471" s="45">
        <v>200940524</v>
      </c>
      <c r="C471" s="59" t="s">
        <v>337</v>
      </c>
      <c r="D471" s="66">
        <v>5.95</v>
      </c>
      <c r="E471" s="66">
        <v>8.6300000000000008</v>
      </c>
      <c r="F471" s="66">
        <v>7.38</v>
      </c>
      <c r="G471" s="24">
        <v>11.35</v>
      </c>
      <c r="H471" s="24">
        <v>11.35</v>
      </c>
      <c r="I471" s="24">
        <v>5</v>
      </c>
      <c r="J471" s="24">
        <f t="shared" si="34"/>
        <v>49.660000000000011</v>
      </c>
      <c r="K471" s="24">
        <v>12.8</v>
      </c>
      <c r="L471" s="25">
        <f>+K471+J471</f>
        <v>62.460000000000008</v>
      </c>
    </row>
    <row r="472" spans="1:12">
      <c r="A472" s="27">
        <v>35</v>
      </c>
      <c r="B472" s="45">
        <v>200940708</v>
      </c>
      <c r="C472" s="56" t="s">
        <v>338</v>
      </c>
      <c r="D472" s="66">
        <v>4.9000000000000004</v>
      </c>
      <c r="E472" s="66">
        <v>3.92</v>
      </c>
      <c r="F472" s="66">
        <v>1.93</v>
      </c>
      <c r="G472" s="24">
        <v>0</v>
      </c>
      <c r="H472" s="24">
        <v>0</v>
      </c>
      <c r="I472" s="24">
        <v>2.75</v>
      </c>
      <c r="J472" s="24">
        <f t="shared" si="34"/>
        <v>13.5</v>
      </c>
      <c r="K472" s="24" t="s">
        <v>475</v>
      </c>
      <c r="L472" s="25">
        <f t="shared" si="40"/>
        <v>13.5</v>
      </c>
    </row>
    <row r="473" spans="1:12">
      <c r="A473" s="27">
        <v>36</v>
      </c>
      <c r="B473" s="45">
        <v>200941405</v>
      </c>
      <c r="C473" s="56" t="s">
        <v>339</v>
      </c>
      <c r="D473" s="66">
        <v>4.45</v>
      </c>
      <c r="E473" s="66">
        <v>6.02</v>
      </c>
      <c r="F473" s="66">
        <v>3.65</v>
      </c>
      <c r="G473" s="24">
        <v>0.45</v>
      </c>
      <c r="H473" s="24">
        <v>0</v>
      </c>
      <c r="I473" s="24">
        <v>3.25</v>
      </c>
      <c r="J473" s="24">
        <f t="shared" si="34"/>
        <v>17.82</v>
      </c>
      <c r="K473" s="24" t="s">
        <v>475</v>
      </c>
      <c r="L473" s="25">
        <f t="shared" si="40"/>
        <v>17.82</v>
      </c>
    </row>
    <row r="474" spans="1:12">
      <c r="A474" s="27">
        <v>37</v>
      </c>
      <c r="B474" s="57">
        <v>200941695</v>
      </c>
      <c r="C474" s="60" t="s">
        <v>340</v>
      </c>
      <c r="D474" s="66">
        <v>5.05</v>
      </c>
      <c r="E474" s="66">
        <v>6.26</v>
      </c>
      <c r="F474" s="66">
        <v>2.2799999999999998</v>
      </c>
      <c r="G474" s="24">
        <v>0.23</v>
      </c>
      <c r="H474" s="24">
        <v>0</v>
      </c>
      <c r="I474" s="24">
        <v>3.75</v>
      </c>
      <c r="J474" s="24">
        <f t="shared" si="34"/>
        <v>17.57</v>
      </c>
      <c r="K474" s="24" t="s">
        <v>475</v>
      </c>
      <c r="L474" s="25">
        <f t="shared" si="40"/>
        <v>17.57</v>
      </c>
    </row>
    <row r="475" spans="1:12">
      <c r="A475" s="27">
        <v>38</v>
      </c>
      <c r="B475" s="45">
        <v>200942683</v>
      </c>
      <c r="C475" s="59" t="s">
        <v>341</v>
      </c>
      <c r="D475" s="66">
        <v>6.1</v>
      </c>
      <c r="E475" s="66">
        <v>10.57</v>
      </c>
      <c r="F475" s="66">
        <v>6.48</v>
      </c>
      <c r="G475" s="24">
        <v>9.6199999999999992</v>
      </c>
      <c r="H475" s="24">
        <v>10.72</v>
      </c>
      <c r="I475" s="24">
        <v>4.5</v>
      </c>
      <c r="J475" s="24">
        <f t="shared" si="34"/>
        <v>47.99</v>
      </c>
      <c r="K475" s="24">
        <v>12.65</v>
      </c>
      <c r="L475" s="25">
        <f>+K475+J475</f>
        <v>60.64</v>
      </c>
    </row>
    <row r="476" spans="1:12">
      <c r="A476" s="27">
        <v>39</v>
      </c>
      <c r="B476" s="45">
        <v>200943123</v>
      </c>
      <c r="C476" s="56" t="s">
        <v>342</v>
      </c>
      <c r="D476" s="66">
        <v>4.3</v>
      </c>
      <c r="E476" s="66">
        <v>5.58</v>
      </c>
      <c r="F476" s="66">
        <v>4.16</v>
      </c>
      <c r="G476" s="24">
        <v>0.65</v>
      </c>
      <c r="H476" s="24">
        <v>0</v>
      </c>
      <c r="I476" s="24">
        <v>2</v>
      </c>
      <c r="J476" s="24">
        <f t="shared" si="34"/>
        <v>16.690000000000001</v>
      </c>
      <c r="K476" s="24" t="s">
        <v>475</v>
      </c>
      <c r="L476" s="25">
        <f t="shared" si="40"/>
        <v>16.690000000000001</v>
      </c>
    </row>
    <row r="477" spans="1:12">
      <c r="A477" s="27">
        <v>40</v>
      </c>
      <c r="B477" s="45">
        <v>200943127</v>
      </c>
      <c r="C477" s="59" t="s">
        <v>343</v>
      </c>
      <c r="D477" s="66">
        <v>6.48</v>
      </c>
      <c r="E477" s="66">
        <v>10.62</v>
      </c>
      <c r="F477" s="66">
        <v>7.26</v>
      </c>
      <c r="G477" s="24">
        <v>4.5</v>
      </c>
      <c r="H477" s="24">
        <v>5.07</v>
      </c>
      <c r="I477" s="24">
        <v>5</v>
      </c>
      <c r="J477" s="24">
        <f t="shared" si="34"/>
        <v>38.929999999999993</v>
      </c>
      <c r="K477" s="24" t="s">
        <v>475</v>
      </c>
      <c r="L477" s="25">
        <f t="shared" si="40"/>
        <v>38.929999999999993</v>
      </c>
    </row>
    <row r="478" spans="1:12">
      <c r="A478" s="27">
        <v>41</v>
      </c>
      <c r="B478" s="45">
        <v>200943365</v>
      </c>
      <c r="C478" s="56" t="s">
        <v>344</v>
      </c>
      <c r="D478" s="66">
        <v>4.3</v>
      </c>
      <c r="E478" s="66">
        <v>5.61</v>
      </c>
      <c r="F478" s="66">
        <v>4.3899999999999997</v>
      </c>
      <c r="G478" s="24">
        <v>0</v>
      </c>
      <c r="H478" s="24">
        <v>0</v>
      </c>
      <c r="I478" s="24">
        <v>2.25</v>
      </c>
      <c r="J478" s="24">
        <f t="shared" si="34"/>
        <v>16.55</v>
      </c>
      <c r="K478" s="24" t="s">
        <v>475</v>
      </c>
      <c r="L478" s="25">
        <f t="shared" si="40"/>
        <v>16.55</v>
      </c>
    </row>
    <row r="479" spans="1:12">
      <c r="A479" s="27">
        <v>42</v>
      </c>
      <c r="B479" s="45">
        <v>200943369</v>
      </c>
      <c r="C479" s="56" t="s">
        <v>345</v>
      </c>
      <c r="D479" s="66">
        <v>2.5499999999999998</v>
      </c>
      <c r="E479" s="66">
        <v>6.29</v>
      </c>
      <c r="F479" s="66">
        <v>3.88</v>
      </c>
      <c r="G479" s="24">
        <v>0</v>
      </c>
      <c r="H479" s="24">
        <v>0</v>
      </c>
      <c r="I479" s="24">
        <v>3</v>
      </c>
      <c r="J479" s="24">
        <f t="shared" si="34"/>
        <v>15.719999999999999</v>
      </c>
      <c r="K479" s="24" t="s">
        <v>475</v>
      </c>
      <c r="L479" s="25">
        <f t="shared" si="40"/>
        <v>15.719999999999999</v>
      </c>
    </row>
    <row r="480" spans="1:12">
      <c r="A480" s="27">
        <v>43</v>
      </c>
      <c r="B480" s="45">
        <v>200943628</v>
      </c>
      <c r="C480" s="56" t="s">
        <v>346</v>
      </c>
      <c r="D480" s="66">
        <v>3.85</v>
      </c>
      <c r="E480" s="66">
        <v>10.83</v>
      </c>
      <c r="F480" s="66">
        <v>5.03</v>
      </c>
      <c r="G480" s="24">
        <v>4.6500000000000004</v>
      </c>
      <c r="H480" s="24">
        <v>6.92</v>
      </c>
      <c r="I480" s="24">
        <v>5</v>
      </c>
      <c r="J480" s="24">
        <f t="shared" si="34"/>
        <v>36.28</v>
      </c>
      <c r="K480" s="24" t="s">
        <v>475</v>
      </c>
      <c r="L480" s="25">
        <f t="shared" si="40"/>
        <v>36.28</v>
      </c>
    </row>
    <row r="481" spans="1:12">
      <c r="A481" s="27">
        <v>44</v>
      </c>
      <c r="B481" s="45">
        <v>200943630</v>
      </c>
      <c r="C481" s="56" t="s">
        <v>347</v>
      </c>
      <c r="D481" s="66">
        <v>3.1</v>
      </c>
      <c r="E481" s="66">
        <v>3.98</v>
      </c>
      <c r="F481" s="66">
        <v>0.45</v>
      </c>
      <c r="G481" s="24">
        <v>0</v>
      </c>
      <c r="H481" s="24">
        <v>0</v>
      </c>
      <c r="I481" s="24">
        <v>2.25</v>
      </c>
      <c r="J481" s="24">
        <f t="shared" si="34"/>
        <v>9.7799999999999994</v>
      </c>
      <c r="K481" s="24" t="s">
        <v>475</v>
      </c>
      <c r="L481" s="25">
        <f t="shared" si="40"/>
        <v>9.7799999999999994</v>
      </c>
    </row>
    <row r="482" spans="1:12">
      <c r="A482" s="27">
        <v>45</v>
      </c>
      <c r="B482" s="45">
        <v>200943634</v>
      </c>
      <c r="C482" s="56" t="s">
        <v>348</v>
      </c>
      <c r="D482" s="66">
        <v>3.85</v>
      </c>
      <c r="E482" s="66">
        <v>5.43</v>
      </c>
      <c r="F482" s="66">
        <f>G482</f>
        <v>0.68</v>
      </c>
      <c r="G482" s="24">
        <v>0.68</v>
      </c>
      <c r="H482" s="24">
        <v>0</v>
      </c>
      <c r="I482" s="24">
        <v>2.25</v>
      </c>
      <c r="J482" s="24">
        <f t="shared" si="34"/>
        <v>12.889999999999999</v>
      </c>
      <c r="K482" s="24" t="s">
        <v>475</v>
      </c>
      <c r="L482" s="25">
        <f t="shared" si="40"/>
        <v>12.889999999999999</v>
      </c>
    </row>
    <row r="483" spans="1:12">
      <c r="A483" s="27">
        <v>46</v>
      </c>
      <c r="B483" s="45">
        <v>200943637</v>
      </c>
      <c r="C483" s="56" t="s">
        <v>349</v>
      </c>
      <c r="D483" s="66">
        <v>3.1</v>
      </c>
      <c r="E483" s="66">
        <v>9.5500000000000007</v>
      </c>
      <c r="F483" s="66">
        <v>7.08</v>
      </c>
      <c r="G483" s="24">
        <v>9.68</v>
      </c>
      <c r="H483" s="24">
        <v>10.65</v>
      </c>
      <c r="I483" s="24">
        <v>5</v>
      </c>
      <c r="J483" s="24">
        <f t="shared" si="34"/>
        <v>45.059999999999995</v>
      </c>
      <c r="K483" s="24">
        <v>2.6</v>
      </c>
      <c r="L483" s="25">
        <f t="shared" si="35"/>
        <v>47.66</v>
      </c>
    </row>
    <row r="484" spans="1:12">
      <c r="A484" s="27">
        <v>47</v>
      </c>
      <c r="B484" s="45">
        <v>200943640</v>
      </c>
      <c r="C484" s="56" t="s">
        <v>350</v>
      </c>
      <c r="D484" s="66">
        <v>3.4</v>
      </c>
      <c r="E484" s="66">
        <v>4.7</v>
      </c>
      <c r="F484" s="66">
        <v>2.7</v>
      </c>
      <c r="G484" s="24">
        <v>0</v>
      </c>
      <c r="H484" s="24">
        <v>0</v>
      </c>
      <c r="I484" s="24">
        <v>3.25</v>
      </c>
      <c r="J484" s="24">
        <f t="shared" si="34"/>
        <v>14.05</v>
      </c>
      <c r="K484" s="24" t="s">
        <v>475</v>
      </c>
      <c r="L484" s="25">
        <f>+J484</f>
        <v>14.05</v>
      </c>
    </row>
    <row r="485" spans="1:12">
      <c r="A485" s="27">
        <v>48</v>
      </c>
      <c r="B485" s="45">
        <v>200943641</v>
      </c>
      <c r="C485" s="56" t="s">
        <v>351</v>
      </c>
      <c r="D485" s="66">
        <v>4.05</v>
      </c>
      <c r="E485" s="66">
        <v>3</v>
      </c>
      <c r="F485" s="66">
        <v>0.93</v>
      </c>
      <c r="G485" s="24">
        <v>0</v>
      </c>
      <c r="H485" s="24">
        <v>0</v>
      </c>
      <c r="I485" s="24">
        <v>3</v>
      </c>
      <c r="J485" s="24">
        <f t="shared" si="34"/>
        <v>10.98</v>
      </c>
      <c r="K485" s="24" t="s">
        <v>475</v>
      </c>
      <c r="L485" s="25">
        <f t="shared" ref="L485:L498" si="41">+J485</f>
        <v>10.98</v>
      </c>
    </row>
    <row r="486" spans="1:12">
      <c r="A486" s="27">
        <v>49</v>
      </c>
      <c r="B486" s="45">
        <v>200943691</v>
      </c>
      <c r="C486" s="56" t="s">
        <v>352</v>
      </c>
      <c r="D486" s="66">
        <v>3.25</v>
      </c>
      <c r="E486" s="66">
        <v>3.88</v>
      </c>
      <c r="F486" s="66">
        <v>2.5299999999999998</v>
      </c>
      <c r="G486" s="24">
        <v>0</v>
      </c>
      <c r="H486" s="24">
        <v>0</v>
      </c>
      <c r="I486" s="24">
        <v>3</v>
      </c>
      <c r="J486" s="24">
        <f t="shared" si="34"/>
        <v>12.66</v>
      </c>
      <c r="K486" s="24" t="s">
        <v>475</v>
      </c>
      <c r="L486" s="25">
        <f t="shared" si="41"/>
        <v>12.66</v>
      </c>
    </row>
    <row r="487" spans="1:12">
      <c r="A487" s="27">
        <v>50</v>
      </c>
      <c r="B487" s="45">
        <v>200943700</v>
      </c>
      <c r="C487" s="56" t="s">
        <v>353</v>
      </c>
      <c r="D487" s="66">
        <v>4.75</v>
      </c>
      <c r="E487" s="66">
        <v>7.26</v>
      </c>
      <c r="F487" s="66">
        <v>7.02</v>
      </c>
      <c r="G487" s="24">
        <v>5.35</v>
      </c>
      <c r="H487" s="24">
        <v>8.07</v>
      </c>
      <c r="I487" s="24">
        <v>4.5</v>
      </c>
      <c r="J487" s="24">
        <f t="shared" si="34"/>
        <v>36.950000000000003</v>
      </c>
      <c r="K487" s="24" t="s">
        <v>475</v>
      </c>
      <c r="L487" s="25">
        <f t="shared" si="41"/>
        <v>36.950000000000003</v>
      </c>
    </row>
    <row r="488" spans="1:12">
      <c r="A488" s="27">
        <v>51</v>
      </c>
      <c r="B488" s="45">
        <v>200943737</v>
      </c>
      <c r="C488" s="56" t="s">
        <v>436</v>
      </c>
      <c r="D488" s="66">
        <v>4.3</v>
      </c>
      <c r="E488" s="66">
        <v>0</v>
      </c>
      <c r="F488" s="66">
        <v>0</v>
      </c>
      <c r="G488" s="24">
        <v>0</v>
      </c>
      <c r="H488" s="24">
        <v>0</v>
      </c>
      <c r="I488" s="24">
        <v>0.25</v>
      </c>
      <c r="J488" s="24">
        <f t="shared" si="34"/>
        <v>4.55</v>
      </c>
      <c r="K488" s="24" t="s">
        <v>475</v>
      </c>
      <c r="L488" s="25">
        <f t="shared" si="41"/>
        <v>4.55</v>
      </c>
    </row>
    <row r="489" spans="1:12">
      <c r="A489" s="27">
        <v>52</v>
      </c>
      <c r="B489" s="45">
        <v>200943793</v>
      </c>
      <c r="C489" s="56" t="s">
        <v>354</v>
      </c>
      <c r="D489" s="66">
        <v>4.2300000000000004</v>
      </c>
      <c r="E489" s="66">
        <v>4.38</v>
      </c>
      <c r="F489" s="66">
        <v>1.58</v>
      </c>
      <c r="G489" s="24">
        <v>0</v>
      </c>
      <c r="H489" s="24">
        <v>0</v>
      </c>
      <c r="I489" s="24">
        <v>5</v>
      </c>
      <c r="J489" s="24">
        <f t="shared" si="34"/>
        <v>15.190000000000001</v>
      </c>
      <c r="K489" s="24" t="s">
        <v>475</v>
      </c>
      <c r="L489" s="25">
        <f t="shared" si="41"/>
        <v>15.190000000000001</v>
      </c>
    </row>
    <row r="490" spans="1:12">
      <c r="A490" s="27">
        <v>53</v>
      </c>
      <c r="B490" s="45">
        <v>200943840</v>
      </c>
      <c r="C490" s="56" t="s">
        <v>355</v>
      </c>
      <c r="D490" s="66">
        <v>3.55</v>
      </c>
      <c r="E490" s="66">
        <v>4.9400000000000004</v>
      </c>
      <c r="F490" s="66">
        <v>0</v>
      </c>
      <c r="G490" s="24">
        <v>0.3</v>
      </c>
      <c r="H490" s="24">
        <v>0</v>
      </c>
      <c r="I490" s="24">
        <v>2.25</v>
      </c>
      <c r="J490" s="24">
        <f t="shared" si="34"/>
        <v>11.04</v>
      </c>
      <c r="K490" s="24" t="s">
        <v>475</v>
      </c>
      <c r="L490" s="25">
        <f t="shared" si="41"/>
        <v>11.04</v>
      </c>
    </row>
    <row r="491" spans="1:12">
      <c r="A491" s="27">
        <v>54</v>
      </c>
      <c r="B491" s="45">
        <v>200944056</v>
      </c>
      <c r="C491" s="56" t="s">
        <v>356</v>
      </c>
      <c r="D491" s="66">
        <v>5.5</v>
      </c>
      <c r="E491" s="66">
        <v>5.38</v>
      </c>
      <c r="F491" s="66">
        <v>7.63</v>
      </c>
      <c r="G491" s="24">
        <v>1.88</v>
      </c>
      <c r="H491" s="24">
        <v>0</v>
      </c>
      <c r="I491" s="24">
        <v>3.5</v>
      </c>
      <c r="J491" s="24">
        <f t="shared" si="34"/>
        <v>23.89</v>
      </c>
      <c r="K491" s="24" t="s">
        <v>475</v>
      </c>
      <c r="L491" s="25">
        <f t="shared" si="41"/>
        <v>23.89</v>
      </c>
    </row>
    <row r="492" spans="1:12">
      <c r="A492" s="27">
        <v>55</v>
      </c>
      <c r="B492" s="45">
        <v>200944097</v>
      </c>
      <c r="C492" s="56" t="s">
        <v>357</v>
      </c>
      <c r="D492" s="66">
        <v>5.5</v>
      </c>
      <c r="E492" s="66">
        <v>7.79</v>
      </c>
      <c r="F492" s="66">
        <v>7.86</v>
      </c>
      <c r="G492" s="24">
        <v>2.36</v>
      </c>
      <c r="H492" s="24">
        <v>8.92</v>
      </c>
      <c r="I492" s="24">
        <v>5</v>
      </c>
      <c r="J492" s="24">
        <f t="shared" si="34"/>
        <v>37.43</v>
      </c>
      <c r="K492" s="24" t="s">
        <v>475</v>
      </c>
      <c r="L492" s="25">
        <f t="shared" si="41"/>
        <v>37.43</v>
      </c>
    </row>
    <row r="493" spans="1:12">
      <c r="A493" s="27">
        <v>56</v>
      </c>
      <c r="B493" s="45">
        <v>200944241</v>
      </c>
      <c r="C493" s="56" t="s">
        <v>358</v>
      </c>
      <c r="D493" s="66">
        <v>8.2799999999999994</v>
      </c>
      <c r="E493" s="66">
        <v>6.69</v>
      </c>
      <c r="F493" s="66">
        <v>5.93</v>
      </c>
      <c r="G493" s="24">
        <v>1.85</v>
      </c>
      <c r="H493" s="24">
        <v>3.3</v>
      </c>
      <c r="I493" s="24">
        <v>5</v>
      </c>
      <c r="J493" s="24">
        <f t="shared" si="34"/>
        <v>31.049999999999997</v>
      </c>
      <c r="K493" s="24" t="s">
        <v>475</v>
      </c>
      <c r="L493" s="25">
        <f t="shared" si="41"/>
        <v>31.049999999999997</v>
      </c>
    </row>
    <row r="494" spans="1:12">
      <c r="A494" s="27">
        <v>57</v>
      </c>
      <c r="B494" s="45">
        <v>200944435</v>
      </c>
      <c r="C494" s="60" t="s">
        <v>359</v>
      </c>
      <c r="D494" s="66">
        <v>4.45</v>
      </c>
      <c r="E494" s="66">
        <v>5.44</v>
      </c>
      <c r="F494" s="66">
        <v>1.38</v>
      </c>
      <c r="G494" s="24">
        <v>0.45</v>
      </c>
      <c r="H494" s="24">
        <v>0</v>
      </c>
      <c r="I494" s="24">
        <v>3.25</v>
      </c>
      <c r="J494" s="24">
        <f t="shared" si="34"/>
        <v>14.969999999999999</v>
      </c>
      <c r="K494" s="24" t="s">
        <v>475</v>
      </c>
      <c r="L494" s="25">
        <f t="shared" si="41"/>
        <v>14.969999999999999</v>
      </c>
    </row>
    <row r="495" spans="1:12">
      <c r="A495" s="27">
        <v>58</v>
      </c>
      <c r="B495" s="45">
        <v>200944452</v>
      </c>
      <c r="C495" s="56" t="s">
        <v>360</v>
      </c>
      <c r="D495" s="66">
        <v>3.75</v>
      </c>
      <c r="E495" s="66">
        <v>3.63</v>
      </c>
      <c r="F495" s="66">
        <v>3.52</v>
      </c>
      <c r="G495" s="24">
        <v>0.38</v>
      </c>
      <c r="H495" s="24">
        <v>1.05</v>
      </c>
      <c r="I495" s="24">
        <v>4.5</v>
      </c>
      <c r="J495" s="24">
        <f t="shared" si="34"/>
        <v>16.829999999999998</v>
      </c>
      <c r="K495" s="24" t="s">
        <v>475</v>
      </c>
      <c r="L495" s="25">
        <f t="shared" si="41"/>
        <v>16.829999999999998</v>
      </c>
    </row>
    <row r="496" spans="1:12">
      <c r="A496" s="27">
        <v>59</v>
      </c>
      <c r="B496" s="45">
        <v>200944938</v>
      </c>
      <c r="C496" s="60" t="s">
        <v>361</v>
      </c>
      <c r="D496" s="66">
        <v>5.8</v>
      </c>
      <c r="E496" s="66">
        <v>6.97</v>
      </c>
      <c r="F496" s="76">
        <v>7.33</v>
      </c>
      <c r="G496" s="24">
        <v>4.7300000000000004</v>
      </c>
      <c r="H496" s="24">
        <v>5.82</v>
      </c>
      <c r="I496" s="24">
        <v>4.5</v>
      </c>
      <c r="J496" s="24">
        <f t="shared" si="34"/>
        <v>35.15</v>
      </c>
      <c r="K496" s="24" t="s">
        <v>475</v>
      </c>
      <c r="L496" s="25">
        <f t="shared" si="41"/>
        <v>35.15</v>
      </c>
    </row>
    <row r="497" spans="1:12">
      <c r="A497" s="27">
        <v>60</v>
      </c>
      <c r="B497" s="45">
        <v>200944985</v>
      </c>
      <c r="C497" s="60" t="s">
        <v>362</v>
      </c>
      <c r="D497" s="66">
        <v>4</v>
      </c>
      <c r="E497" s="66">
        <v>3.9</v>
      </c>
      <c r="F497" s="76">
        <v>2.25</v>
      </c>
      <c r="G497" s="24">
        <v>0.65</v>
      </c>
      <c r="H497" s="24">
        <v>0</v>
      </c>
      <c r="I497" s="24">
        <v>4.75</v>
      </c>
      <c r="J497" s="24">
        <f t="shared" si="34"/>
        <v>15.55</v>
      </c>
      <c r="K497" s="24" t="s">
        <v>475</v>
      </c>
      <c r="L497" s="25">
        <f t="shared" si="41"/>
        <v>15.55</v>
      </c>
    </row>
    <row r="498" spans="1:12">
      <c r="A498" s="27">
        <v>61</v>
      </c>
      <c r="B498" s="45">
        <v>200946113</v>
      </c>
      <c r="C498" s="56" t="s">
        <v>363</v>
      </c>
      <c r="D498" s="66">
        <v>2.95</v>
      </c>
      <c r="E498" s="66">
        <v>5.15</v>
      </c>
      <c r="F498" s="77">
        <v>2.1800000000000002</v>
      </c>
      <c r="G498" s="24">
        <v>0</v>
      </c>
      <c r="H498" s="24">
        <v>0</v>
      </c>
      <c r="I498" s="24">
        <v>3.5</v>
      </c>
      <c r="J498" s="24">
        <f t="shared" si="34"/>
        <v>13.780000000000001</v>
      </c>
      <c r="K498" s="24" t="s">
        <v>475</v>
      </c>
      <c r="L498" s="25">
        <f t="shared" si="41"/>
        <v>13.780000000000001</v>
      </c>
    </row>
    <row r="499" spans="1:12">
      <c r="A499" s="29"/>
      <c r="B499" s="29"/>
      <c r="C499" s="30"/>
      <c r="D499" s="31"/>
      <c r="E499" s="31"/>
      <c r="F499" s="31"/>
      <c r="G499" s="31"/>
      <c r="H499" s="31"/>
      <c r="I499" s="31"/>
      <c r="J499" s="31"/>
      <c r="K499" s="31"/>
      <c r="L499" s="32"/>
    </row>
    <row r="500" spans="1:12">
      <c r="A500" s="29"/>
      <c r="B500" s="29"/>
      <c r="C500" s="30"/>
      <c r="D500" s="31"/>
      <c r="E500" s="31"/>
      <c r="F500" s="31"/>
      <c r="G500" s="31"/>
      <c r="H500" s="31"/>
      <c r="I500" s="31"/>
      <c r="J500" s="31"/>
      <c r="K500" s="31"/>
      <c r="L500" s="32"/>
    </row>
    <row r="501" spans="1:12" ht="17.25" thickBot="1">
      <c r="A501" s="33"/>
      <c r="B501" s="33"/>
      <c r="C501" s="34"/>
      <c r="D501" s="31"/>
      <c r="E501" s="31"/>
      <c r="F501" s="31"/>
      <c r="G501" s="31"/>
      <c r="H501" s="35"/>
      <c r="I501" s="35"/>
      <c r="J501" s="35"/>
      <c r="K501" s="9"/>
      <c r="L501" s="32"/>
    </row>
    <row r="502" spans="1:12">
      <c r="H502" s="100" t="s">
        <v>101</v>
      </c>
      <c r="I502" s="100"/>
      <c r="J502" s="100"/>
      <c r="L502" s="1"/>
    </row>
    <row r="503" spans="1:12">
      <c r="D503" s="36"/>
      <c r="H503" s="100" t="s">
        <v>21</v>
      </c>
      <c r="I503" s="100"/>
      <c r="J503" s="100"/>
      <c r="L503" s="1"/>
    </row>
    <row r="504" spans="1:12">
      <c r="D504" s="36"/>
      <c r="H504" s="100" t="s">
        <v>448</v>
      </c>
      <c r="I504" s="100"/>
      <c r="J504" s="100"/>
      <c r="L504" s="1"/>
    </row>
  </sheetData>
  <mergeCells count="18">
    <mergeCell ref="H338:J338"/>
    <mergeCell ref="H339:J339"/>
    <mergeCell ref="H76:J76"/>
    <mergeCell ref="H77:J77"/>
    <mergeCell ref="H78:J78"/>
    <mergeCell ref="H503:J503"/>
    <mergeCell ref="H504:J504"/>
    <mergeCell ref="H168:J168"/>
    <mergeCell ref="H169:J169"/>
    <mergeCell ref="H170:J170"/>
    <mergeCell ref="H412:J412"/>
    <mergeCell ref="H413:J413"/>
    <mergeCell ref="H414:J414"/>
    <mergeCell ref="H502:J502"/>
    <mergeCell ref="H248:J248"/>
    <mergeCell ref="H249:J249"/>
    <mergeCell ref="H250:J250"/>
    <mergeCell ref="H337:J337"/>
  </mergeCells>
  <pageMargins left="0.14000000000000001" right="0.22" top="0.44" bottom="0.44" header="0.31496062992125984" footer="0.31496062992125984"/>
  <pageSetup paperSize="129" scale="8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L504"/>
  <sheetViews>
    <sheetView topLeftCell="A281" workbookViewId="0">
      <selection activeCell="K297" sqref="K297"/>
    </sheetView>
  </sheetViews>
  <sheetFormatPr baseColWidth="10" defaultRowHeight="16.5"/>
  <cols>
    <col min="1" max="1" width="4.140625" style="2" customWidth="1"/>
    <col min="2" max="2" width="10" style="2" bestFit="1" customWidth="1"/>
    <col min="3" max="3" width="35" style="2" bestFit="1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13.42578125" style="2" customWidth="1"/>
    <col min="10" max="10" width="12.85546875" style="2" bestFit="1" customWidth="1"/>
    <col min="11" max="11" width="14.42578125" style="2" bestFit="1" customWidth="1"/>
    <col min="12" max="12" width="7.5703125" style="2" bestFit="1" customWidth="1"/>
    <col min="13" max="16384" width="11.42578125" style="2"/>
  </cols>
  <sheetData>
    <row r="1" spans="1:12" ht="17.25" thickBot="1">
      <c r="A1" s="1" t="s">
        <v>0</v>
      </c>
      <c r="I1" s="3"/>
    </row>
    <row r="2" spans="1:12">
      <c r="A2" s="1" t="s">
        <v>1</v>
      </c>
      <c r="F2" s="4"/>
      <c r="G2" s="5"/>
      <c r="H2" s="6"/>
      <c r="I2" s="7"/>
    </row>
    <row r="3" spans="1:12">
      <c r="A3" s="8" t="s">
        <v>2</v>
      </c>
      <c r="B3" s="9"/>
      <c r="E3" s="7"/>
      <c r="F3" s="10"/>
      <c r="G3" s="11"/>
      <c r="H3" s="12"/>
      <c r="I3" s="7"/>
    </row>
    <row r="4" spans="1:12" ht="17.25" thickBot="1">
      <c r="A4" s="13" t="s">
        <v>3</v>
      </c>
      <c r="B4" s="9"/>
      <c r="E4" s="7"/>
      <c r="F4" s="10"/>
      <c r="G4" s="11"/>
      <c r="H4" s="12"/>
      <c r="I4" s="7"/>
    </row>
    <row r="5" spans="1:12" ht="17.25" thickBot="1">
      <c r="A5" s="14" t="s">
        <v>22</v>
      </c>
      <c r="B5" s="15"/>
      <c r="C5" s="16"/>
      <c r="E5" s="7"/>
      <c r="F5" s="17"/>
      <c r="G5" s="18"/>
      <c r="H5" s="19"/>
      <c r="I5" s="7"/>
    </row>
    <row r="6" spans="1:12">
      <c r="A6" s="8"/>
      <c r="B6" s="9"/>
      <c r="E6" s="7"/>
      <c r="I6" s="3"/>
    </row>
    <row r="7" spans="1:12">
      <c r="A7" s="1" t="s">
        <v>91</v>
      </c>
      <c r="B7" s="9"/>
      <c r="C7" s="20" t="s">
        <v>92</v>
      </c>
      <c r="E7" s="7"/>
      <c r="I7" s="3"/>
    </row>
    <row r="8" spans="1:12">
      <c r="A8" s="1" t="s">
        <v>4</v>
      </c>
      <c r="C8" s="20" t="s">
        <v>426</v>
      </c>
      <c r="I8" s="3"/>
    </row>
    <row r="9" spans="1:12">
      <c r="A9" s="1" t="s">
        <v>5</v>
      </c>
      <c r="C9" s="20" t="s">
        <v>427</v>
      </c>
    </row>
    <row r="10" spans="1:12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2">
      <c r="A11" s="1"/>
      <c r="C11" s="22" t="s">
        <v>6</v>
      </c>
      <c r="D11" s="22" t="s">
        <v>435</v>
      </c>
      <c r="E11" s="22" t="s">
        <v>435</v>
      </c>
      <c r="F11" s="22" t="s">
        <v>435</v>
      </c>
      <c r="G11" s="22" t="s">
        <v>435</v>
      </c>
      <c r="H11" s="22" t="s">
        <v>435</v>
      </c>
      <c r="I11" s="22" t="s">
        <v>7</v>
      </c>
      <c r="J11" s="22" t="s">
        <v>8</v>
      </c>
      <c r="K11" s="22" t="s">
        <v>7</v>
      </c>
      <c r="L11" s="22" t="s">
        <v>9</v>
      </c>
    </row>
    <row r="12" spans="1:12">
      <c r="A12" s="22" t="s">
        <v>10</v>
      </c>
      <c r="B12" s="22" t="s">
        <v>11</v>
      </c>
      <c r="C12" s="22" t="s">
        <v>12</v>
      </c>
      <c r="D12" s="22" t="s">
        <v>13</v>
      </c>
      <c r="E12" s="22" t="s">
        <v>14</v>
      </c>
      <c r="F12" s="22" t="s">
        <v>15</v>
      </c>
      <c r="G12" s="22" t="s">
        <v>16</v>
      </c>
      <c r="H12" s="22" t="s">
        <v>17</v>
      </c>
      <c r="I12" s="22" t="s">
        <v>95</v>
      </c>
      <c r="J12" s="22" t="s">
        <v>18</v>
      </c>
      <c r="K12" s="22" t="s">
        <v>19</v>
      </c>
      <c r="L12" s="22" t="s">
        <v>20</v>
      </c>
    </row>
    <row r="13" spans="1:12">
      <c r="A13" s="23">
        <v>1</v>
      </c>
      <c r="B13" s="40">
        <v>200742316</v>
      </c>
      <c r="C13" s="38" t="s">
        <v>28</v>
      </c>
      <c r="D13" s="24">
        <v>2.0499999999999998</v>
      </c>
      <c r="E13" s="24">
        <v>3.3</v>
      </c>
      <c r="F13" s="24">
        <v>2.9</v>
      </c>
      <c r="G13" s="24">
        <v>5.95</v>
      </c>
      <c r="H13" s="24">
        <v>0</v>
      </c>
      <c r="I13" s="24">
        <v>11.75</v>
      </c>
      <c r="J13" s="24">
        <f>+I13+H13+G13+F13+E13+D13</f>
        <v>25.95</v>
      </c>
      <c r="K13" s="24" t="s">
        <v>475</v>
      </c>
      <c r="L13" s="25">
        <f>+J13</f>
        <v>25.95</v>
      </c>
    </row>
    <row r="14" spans="1:12">
      <c r="A14" s="26">
        <v>2</v>
      </c>
      <c r="B14" s="37">
        <v>200840120</v>
      </c>
      <c r="C14" s="38" t="s">
        <v>34</v>
      </c>
      <c r="D14" s="24">
        <v>5.16</v>
      </c>
      <c r="E14" s="24">
        <v>5.05</v>
      </c>
      <c r="F14" s="24">
        <v>3.1</v>
      </c>
      <c r="G14" s="24">
        <v>5.77</v>
      </c>
      <c r="H14" s="24">
        <v>0</v>
      </c>
      <c r="I14" s="24">
        <v>10.48</v>
      </c>
      <c r="J14" s="24">
        <f t="shared" ref="J14:J62" si="0">+I14+H14+G14+F14+E14+D14</f>
        <v>29.560000000000002</v>
      </c>
      <c r="K14" s="24" t="s">
        <v>475</v>
      </c>
      <c r="L14" s="25">
        <f>+J14</f>
        <v>29.560000000000002</v>
      </c>
    </row>
    <row r="15" spans="1:12">
      <c r="A15" s="27">
        <v>3</v>
      </c>
      <c r="B15" s="37">
        <v>200840126</v>
      </c>
      <c r="C15" s="38" t="s">
        <v>35</v>
      </c>
      <c r="D15" s="24">
        <v>9.39</v>
      </c>
      <c r="E15" s="24">
        <v>4.8499999999999996</v>
      </c>
      <c r="F15" s="24">
        <v>6.05</v>
      </c>
      <c r="G15" s="24">
        <v>1.88</v>
      </c>
      <c r="H15" s="24">
        <v>5.36</v>
      </c>
      <c r="I15" s="24">
        <v>16.399999999999999</v>
      </c>
      <c r="J15" s="24">
        <f t="shared" si="0"/>
        <v>43.93</v>
      </c>
      <c r="K15" s="24">
        <v>10.25</v>
      </c>
      <c r="L15" s="25">
        <f t="shared" ref="L15:L61" si="1">+K15+J15</f>
        <v>54.18</v>
      </c>
    </row>
    <row r="16" spans="1:12">
      <c r="A16" s="26">
        <v>4</v>
      </c>
      <c r="B16" s="37">
        <v>200840188</v>
      </c>
      <c r="C16" s="38" t="s">
        <v>40</v>
      </c>
      <c r="D16" s="24">
        <v>7.45</v>
      </c>
      <c r="E16" s="24">
        <v>3.25</v>
      </c>
      <c r="F16" s="24">
        <v>3.3</v>
      </c>
      <c r="G16" s="24">
        <v>4.07</v>
      </c>
      <c r="H16" s="24">
        <v>0</v>
      </c>
      <c r="I16" s="24">
        <v>10.85</v>
      </c>
      <c r="J16" s="24">
        <f t="shared" si="0"/>
        <v>28.919999999999998</v>
      </c>
      <c r="K16" s="24" t="s">
        <v>475</v>
      </c>
      <c r="L16" s="25">
        <f>+J16</f>
        <v>28.919999999999998</v>
      </c>
    </row>
    <row r="17" spans="1:12">
      <c r="A17" s="26">
        <v>5</v>
      </c>
      <c r="B17" s="37">
        <v>200840198</v>
      </c>
      <c r="C17" s="38" t="s">
        <v>41</v>
      </c>
      <c r="D17" s="24">
        <v>4.87</v>
      </c>
      <c r="E17" s="24">
        <v>9.43</v>
      </c>
      <c r="F17" s="24">
        <v>6.5</v>
      </c>
      <c r="G17" s="24">
        <v>5.73</v>
      </c>
      <c r="H17" s="24">
        <v>7.44</v>
      </c>
      <c r="I17" s="24">
        <v>16.3</v>
      </c>
      <c r="J17" s="24">
        <f t="shared" si="0"/>
        <v>50.269999999999996</v>
      </c>
      <c r="K17" s="24">
        <v>11.68</v>
      </c>
      <c r="L17" s="25">
        <f t="shared" si="1"/>
        <v>61.949999999999996</v>
      </c>
    </row>
    <row r="18" spans="1:12">
      <c r="A18" s="26">
        <v>6</v>
      </c>
      <c r="B18" s="40">
        <v>200840211</v>
      </c>
      <c r="C18" s="38" t="s">
        <v>42</v>
      </c>
      <c r="D18" s="24">
        <v>2.98</v>
      </c>
      <c r="E18" s="24">
        <v>4.7300000000000004</v>
      </c>
      <c r="F18" s="24">
        <v>0.8</v>
      </c>
      <c r="G18" s="24">
        <v>0.75</v>
      </c>
      <c r="H18" s="24">
        <v>1.86</v>
      </c>
      <c r="I18" s="24">
        <v>16.55</v>
      </c>
      <c r="J18" s="24">
        <f t="shared" si="0"/>
        <v>27.67</v>
      </c>
      <c r="K18" s="24" t="s">
        <v>475</v>
      </c>
      <c r="L18" s="25">
        <f>+J18</f>
        <v>27.67</v>
      </c>
    </row>
    <row r="19" spans="1:12">
      <c r="A19" s="26">
        <v>7</v>
      </c>
      <c r="B19" s="37">
        <v>200842032</v>
      </c>
      <c r="C19" s="39" t="s">
        <v>44</v>
      </c>
      <c r="D19" s="24">
        <v>3.95</v>
      </c>
      <c r="E19" s="24">
        <v>2.9</v>
      </c>
      <c r="F19" s="24">
        <v>4.43</v>
      </c>
      <c r="G19" s="24">
        <v>2.63</v>
      </c>
      <c r="H19" s="24">
        <v>0</v>
      </c>
      <c r="I19" s="24">
        <v>5.25</v>
      </c>
      <c r="J19" s="24">
        <f t="shared" si="0"/>
        <v>19.16</v>
      </c>
      <c r="K19" s="24" t="s">
        <v>475</v>
      </c>
      <c r="L19" s="25">
        <f>+J19</f>
        <v>19.16</v>
      </c>
    </row>
    <row r="20" spans="1:12">
      <c r="A20" s="26">
        <v>8</v>
      </c>
      <c r="B20" s="37">
        <v>200842051</v>
      </c>
      <c r="C20" s="38" t="s">
        <v>428</v>
      </c>
      <c r="D20" s="24">
        <v>10.08</v>
      </c>
      <c r="E20" s="24">
        <v>10.28</v>
      </c>
      <c r="F20" s="24">
        <v>8.6999999999999993</v>
      </c>
      <c r="G20" s="24">
        <v>9.89</v>
      </c>
      <c r="H20" s="24">
        <v>8.43</v>
      </c>
      <c r="I20" s="24">
        <v>17.5</v>
      </c>
      <c r="J20" s="24">
        <f t="shared" si="0"/>
        <v>64.88</v>
      </c>
      <c r="K20" s="24">
        <v>15.8</v>
      </c>
      <c r="L20" s="25">
        <f t="shared" si="1"/>
        <v>80.679999999999993</v>
      </c>
    </row>
    <row r="21" spans="1:12">
      <c r="A21" s="26">
        <v>9</v>
      </c>
      <c r="B21" s="40">
        <v>200842061</v>
      </c>
      <c r="C21" s="38" t="s">
        <v>48</v>
      </c>
      <c r="D21" s="24">
        <v>0.77</v>
      </c>
      <c r="E21" s="24">
        <v>1.8</v>
      </c>
      <c r="F21" s="24">
        <v>3.5</v>
      </c>
      <c r="G21" s="24">
        <v>2.58</v>
      </c>
      <c r="H21" s="24">
        <v>0</v>
      </c>
      <c r="I21" s="24">
        <v>5.5</v>
      </c>
      <c r="J21" s="24">
        <f t="shared" si="0"/>
        <v>14.15</v>
      </c>
      <c r="K21" s="24" t="s">
        <v>475</v>
      </c>
      <c r="L21" s="25">
        <f>+J21</f>
        <v>14.15</v>
      </c>
    </row>
    <row r="22" spans="1:12">
      <c r="A22" s="26">
        <v>10</v>
      </c>
      <c r="B22" s="37">
        <v>200842077</v>
      </c>
      <c r="C22" s="38" t="s">
        <v>49</v>
      </c>
      <c r="D22" s="24">
        <v>5.01</v>
      </c>
      <c r="E22" s="24">
        <v>3.6</v>
      </c>
      <c r="F22" s="24">
        <v>6.25</v>
      </c>
      <c r="G22" s="24">
        <v>4.55</v>
      </c>
      <c r="H22" s="24">
        <v>0</v>
      </c>
      <c r="I22" s="24">
        <v>7.75</v>
      </c>
      <c r="J22" s="24">
        <f t="shared" si="0"/>
        <v>27.160000000000004</v>
      </c>
      <c r="K22" s="24" t="s">
        <v>475</v>
      </c>
      <c r="L22" s="25">
        <f t="shared" ref="L22:L31" si="2">+J22</f>
        <v>27.160000000000004</v>
      </c>
    </row>
    <row r="23" spans="1:12">
      <c r="A23" s="26">
        <v>11</v>
      </c>
      <c r="B23" s="37">
        <v>200842129</v>
      </c>
      <c r="C23" s="38" t="s">
        <v>50</v>
      </c>
      <c r="D23" s="24">
        <v>4.21</v>
      </c>
      <c r="E23" s="24">
        <v>7.78</v>
      </c>
      <c r="F23" s="24">
        <v>2.1</v>
      </c>
      <c r="G23" s="24">
        <v>3</v>
      </c>
      <c r="H23" s="28">
        <v>0</v>
      </c>
      <c r="I23" s="28">
        <v>6.5</v>
      </c>
      <c r="J23" s="24">
        <f t="shared" si="0"/>
        <v>23.59</v>
      </c>
      <c r="K23" s="24" t="s">
        <v>475</v>
      </c>
      <c r="L23" s="25">
        <f t="shared" si="2"/>
        <v>23.59</v>
      </c>
    </row>
    <row r="24" spans="1:12">
      <c r="A24" s="26">
        <v>12</v>
      </c>
      <c r="B24" s="37">
        <v>200842253</v>
      </c>
      <c r="C24" s="38" t="s">
        <v>52</v>
      </c>
      <c r="D24" s="24">
        <v>3.57</v>
      </c>
      <c r="E24" s="24">
        <v>3.56</v>
      </c>
      <c r="F24" s="24">
        <v>3</v>
      </c>
      <c r="G24" s="24">
        <v>0</v>
      </c>
      <c r="H24" s="28">
        <v>0</v>
      </c>
      <c r="I24" s="28">
        <v>6</v>
      </c>
      <c r="J24" s="24">
        <f t="shared" si="0"/>
        <v>16.13</v>
      </c>
      <c r="K24" s="24" t="s">
        <v>475</v>
      </c>
      <c r="L24" s="25">
        <f t="shared" si="2"/>
        <v>16.13</v>
      </c>
    </row>
    <row r="25" spans="1:12">
      <c r="A25" s="26">
        <v>13</v>
      </c>
      <c r="B25" s="37">
        <v>200940284</v>
      </c>
      <c r="C25" s="39" t="s">
        <v>53</v>
      </c>
      <c r="D25" s="24">
        <v>3.15</v>
      </c>
      <c r="E25" s="24">
        <v>2.2999999999999998</v>
      </c>
      <c r="F25" s="24">
        <v>5.7</v>
      </c>
      <c r="G25" s="24">
        <v>5</v>
      </c>
      <c r="H25" s="28">
        <v>1.43</v>
      </c>
      <c r="I25" s="28">
        <v>13.9</v>
      </c>
      <c r="J25" s="24">
        <f t="shared" si="0"/>
        <v>31.479999999999997</v>
      </c>
      <c r="K25" s="24" t="s">
        <v>475</v>
      </c>
      <c r="L25" s="25">
        <f t="shared" si="2"/>
        <v>31.479999999999997</v>
      </c>
    </row>
    <row r="26" spans="1:12">
      <c r="A26" s="23">
        <v>14</v>
      </c>
      <c r="B26" s="37">
        <v>200940311</v>
      </c>
      <c r="C26" s="41" t="s">
        <v>54</v>
      </c>
      <c r="D26" s="24">
        <v>1.82</v>
      </c>
      <c r="E26" s="24">
        <v>5</v>
      </c>
      <c r="F26" s="24">
        <v>3.4</v>
      </c>
      <c r="G26" s="24">
        <v>0.69</v>
      </c>
      <c r="H26" s="28">
        <v>0</v>
      </c>
      <c r="I26" s="28">
        <v>6.5</v>
      </c>
      <c r="J26" s="24">
        <f t="shared" si="0"/>
        <v>17.41</v>
      </c>
      <c r="K26" s="24" t="s">
        <v>475</v>
      </c>
      <c r="L26" s="25">
        <f t="shared" si="2"/>
        <v>17.41</v>
      </c>
    </row>
    <row r="27" spans="1:12">
      <c r="A27" s="23">
        <v>15</v>
      </c>
      <c r="B27" s="37">
        <v>200940313</v>
      </c>
      <c r="C27" s="38" t="s">
        <v>55</v>
      </c>
      <c r="D27" s="24">
        <v>3.74</v>
      </c>
      <c r="E27" s="24">
        <v>5.28</v>
      </c>
      <c r="F27" s="24">
        <v>5.6</v>
      </c>
      <c r="G27" s="24">
        <f>+H27</f>
        <v>2.93</v>
      </c>
      <c r="H27" s="24">
        <v>2.93</v>
      </c>
      <c r="I27" s="24">
        <v>17</v>
      </c>
      <c r="J27" s="24">
        <f t="shared" si="0"/>
        <v>37.480000000000004</v>
      </c>
      <c r="K27" s="24" t="s">
        <v>475</v>
      </c>
      <c r="L27" s="25">
        <f t="shared" si="2"/>
        <v>37.480000000000004</v>
      </c>
    </row>
    <row r="28" spans="1:12">
      <c r="A28" s="23">
        <v>16</v>
      </c>
      <c r="B28" s="37">
        <v>200940323</v>
      </c>
      <c r="C28" s="38" t="s">
        <v>56</v>
      </c>
      <c r="D28" s="24">
        <v>2.62</v>
      </c>
      <c r="E28" s="24">
        <v>0</v>
      </c>
      <c r="F28" s="24">
        <v>0</v>
      </c>
      <c r="G28" s="24">
        <v>0</v>
      </c>
      <c r="H28" s="24">
        <v>0</v>
      </c>
      <c r="I28" s="24">
        <v>3</v>
      </c>
      <c r="J28" s="24">
        <f t="shared" si="0"/>
        <v>5.62</v>
      </c>
      <c r="K28" s="24" t="s">
        <v>475</v>
      </c>
      <c r="L28" s="25">
        <f t="shared" si="2"/>
        <v>5.62</v>
      </c>
    </row>
    <row r="29" spans="1:12">
      <c r="A29" s="23">
        <v>17</v>
      </c>
      <c r="B29" s="37">
        <v>200940326</v>
      </c>
      <c r="C29" s="38" t="s">
        <v>57</v>
      </c>
      <c r="D29" s="24">
        <v>3.98</v>
      </c>
      <c r="E29" s="24">
        <v>3.6</v>
      </c>
      <c r="F29" s="24">
        <v>0</v>
      </c>
      <c r="G29" s="24">
        <v>0</v>
      </c>
      <c r="H29" s="24">
        <v>0</v>
      </c>
      <c r="I29" s="24">
        <v>4.25</v>
      </c>
      <c r="J29" s="24">
        <f t="shared" si="0"/>
        <v>11.83</v>
      </c>
      <c r="K29" s="24" t="s">
        <v>475</v>
      </c>
      <c r="L29" s="25">
        <f t="shared" si="2"/>
        <v>11.83</v>
      </c>
    </row>
    <row r="30" spans="1:12">
      <c r="A30" s="27">
        <v>18</v>
      </c>
      <c r="B30" s="37">
        <v>200940327</v>
      </c>
      <c r="C30" s="38" t="s">
        <v>58</v>
      </c>
      <c r="D30" s="24">
        <v>2.0499999999999998</v>
      </c>
      <c r="E30" s="24">
        <v>5.3</v>
      </c>
      <c r="F30" s="24">
        <v>6.75</v>
      </c>
      <c r="G30" s="24">
        <v>5.28</v>
      </c>
      <c r="H30" s="24">
        <v>3</v>
      </c>
      <c r="I30" s="24">
        <v>15.9</v>
      </c>
      <c r="J30" s="24">
        <f t="shared" si="0"/>
        <v>38.279999999999994</v>
      </c>
      <c r="K30" s="24" t="s">
        <v>475</v>
      </c>
      <c r="L30" s="25">
        <f t="shared" si="2"/>
        <v>38.279999999999994</v>
      </c>
    </row>
    <row r="31" spans="1:12">
      <c r="A31" s="27">
        <v>19</v>
      </c>
      <c r="B31" s="37">
        <v>200940328</v>
      </c>
      <c r="C31" s="41" t="s">
        <v>59</v>
      </c>
      <c r="D31" s="24">
        <v>4.76</v>
      </c>
      <c r="E31" s="24">
        <v>1.95</v>
      </c>
      <c r="F31" s="24">
        <v>2.56</v>
      </c>
      <c r="G31" s="24">
        <v>0</v>
      </c>
      <c r="H31" s="24">
        <v>0</v>
      </c>
      <c r="I31" s="24">
        <v>6.9</v>
      </c>
      <c r="J31" s="24">
        <f t="shared" si="0"/>
        <v>16.170000000000002</v>
      </c>
      <c r="K31" s="24" t="s">
        <v>475</v>
      </c>
      <c r="L31" s="25">
        <f t="shared" si="2"/>
        <v>16.170000000000002</v>
      </c>
    </row>
    <row r="32" spans="1:12">
      <c r="A32" s="27">
        <v>20</v>
      </c>
      <c r="B32" s="37">
        <v>200940340</v>
      </c>
      <c r="C32" s="41" t="s">
        <v>60</v>
      </c>
      <c r="D32" s="24">
        <v>3.93</v>
      </c>
      <c r="E32" s="24">
        <v>8.18</v>
      </c>
      <c r="F32" s="24">
        <v>7.6</v>
      </c>
      <c r="G32" s="24">
        <v>7.87</v>
      </c>
      <c r="H32" s="24">
        <v>5.9</v>
      </c>
      <c r="I32" s="24">
        <v>16.899999999999999</v>
      </c>
      <c r="J32" s="24">
        <f t="shared" si="0"/>
        <v>50.379999999999995</v>
      </c>
      <c r="K32" s="24">
        <v>12.33</v>
      </c>
      <c r="L32" s="25">
        <f t="shared" si="1"/>
        <v>62.709999999999994</v>
      </c>
    </row>
    <row r="33" spans="1:12">
      <c r="A33" s="27">
        <v>21</v>
      </c>
      <c r="B33" s="37">
        <v>200940355</v>
      </c>
      <c r="C33" s="41" t="s">
        <v>61</v>
      </c>
      <c r="D33" s="24">
        <v>2.33</v>
      </c>
      <c r="E33" s="24">
        <v>2.66</v>
      </c>
      <c r="F33" s="24">
        <v>0.9</v>
      </c>
      <c r="G33" s="24">
        <f>+H33</f>
        <v>1.4</v>
      </c>
      <c r="H33" s="24">
        <v>1.4</v>
      </c>
      <c r="I33" s="24">
        <v>14.65</v>
      </c>
      <c r="J33" s="24">
        <f t="shared" si="0"/>
        <v>23.339999999999996</v>
      </c>
      <c r="K33" s="24" t="s">
        <v>475</v>
      </c>
      <c r="L33" s="25">
        <f>+J33</f>
        <v>23.339999999999996</v>
      </c>
    </row>
    <row r="34" spans="1:12">
      <c r="A34" s="27">
        <v>22</v>
      </c>
      <c r="B34" s="37">
        <v>200940359</v>
      </c>
      <c r="C34" s="38" t="s">
        <v>62</v>
      </c>
      <c r="D34" s="24">
        <v>3.06</v>
      </c>
      <c r="E34" s="24">
        <v>2.34</v>
      </c>
      <c r="F34" s="24">
        <v>2.1</v>
      </c>
      <c r="G34" s="24">
        <f>+H34</f>
        <v>5.44</v>
      </c>
      <c r="H34" s="24">
        <v>5.44</v>
      </c>
      <c r="I34" s="24">
        <v>16.600000000000001</v>
      </c>
      <c r="J34" s="24">
        <f t="shared" si="0"/>
        <v>34.980000000000004</v>
      </c>
      <c r="K34" s="24" t="s">
        <v>475</v>
      </c>
      <c r="L34" s="25">
        <f t="shared" ref="L34:L35" si="3">+J34</f>
        <v>34.980000000000004</v>
      </c>
    </row>
    <row r="35" spans="1:12">
      <c r="A35" s="27">
        <v>23</v>
      </c>
      <c r="B35" s="37">
        <v>200940361</v>
      </c>
      <c r="C35" s="41" t="s">
        <v>63</v>
      </c>
      <c r="D35" s="24">
        <v>4.0599999999999996</v>
      </c>
      <c r="E35" s="24">
        <v>2.2000000000000002</v>
      </c>
      <c r="F35" s="24">
        <v>2.2000000000000002</v>
      </c>
      <c r="G35" s="24">
        <v>0</v>
      </c>
      <c r="H35" s="24">
        <v>0</v>
      </c>
      <c r="I35" s="24">
        <v>6.25</v>
      </c>
      <c r="J35" s="24">
        <f t="shared" si="0"/>
        <v>14.709999999999997</v>
      </c>
      <c r="K35" s="24" t="s">
        <v>475</v>
      </c>
      <c r="L35" s="25">
        <f t="shared" si="3"/>
        <v>14.709999999999997</v>
      </c>
    </row>
    <row r="36" spans="1:12">
      <c r="A36" s="27">
        <v>24</v>
      </c>
      <c r="B36" s="37">
        <v>200940365</v>
      </c>
      <c r="C36" s="38" t="s">
        <v>64</v>
      </c>
      <c r="D36" s="24">
        <v>7.04</v>
      </c>
      <c r="E36" s="24">
        <v>6.95</v>
      </c>
      <c r="F36" s="24">
        <v>5.0999999999999996</v>
      </c>
      <c r="G36" s="24">
        <v>3.3</v>
      </c>
      <c r="H36" s="24">
        <v>5.0999999999999996</v>
      </c>
      <c r="I36" s="24">
        <v>16.899999999999999</v>
      </c>
      <c r="J36" s="24">
        <v>43.89</v>
      </c>
      <c r="K36" s="24">
        <v>12.43</v>
      </c>
      <c r="L36" s="25">
        <f t="shared" si="1"/>
        <v>56.32</v>
      </c>
    </row>
    <row r="37" spans="1:12">
      <c r="A37" s="27">
        <v>25</v>
      </c>
      <c r="B37" s="40">
        <v>200940438</v>
      </c>
      <c r="C37" s="42" t="s">
        <v>65</v>
      </c>
      <c r="D37" s="24">
        <v>2.5499999999999998</v>
      </c>
      <c r="E37" s="24">
        <v>4.8499999999999996</v>
      </c>
      <c r="F37" s="24">
        <v>2.6</v>
      </c>
      <c r="G37" s="24">
        <v>1</v>
      </c>
      <c r="H37" s="24">
        <v>0</v>
      </c>
      <c r="I37" s="24">
        <v>7.25</v>
      </c>
      <c r="J37" s="24">
        <f t="shared" si="0"/>
        <v>18.25</v>
      </c>
      <c r="K37" s="24" t="s">
        <v>475</v>
      </c>
      <c r="L37" s="25">
        <f>+J37</f>
        <v>18.25</v>
      </c>
    </row>
    <row r="38" spans="1:12">
      <c r="A38" s="27">
        <v>26</v>
      </c>
      <c r="B38" s="37">
        <v>200940473</v>
      </c>
      <c r="C38" s="38" t="s">
        <v>66</v>
      </c>
      <c r="D38" s="24">
        <v>1.04</v>
      </c>
      <c r="E38" s="24">
        <v>1.75</v>
      </c>
      <c r="F38" s="24">
        <v>0.2</v>
      </c>
      <c r="G38" s="24">
        <v>0</v>
      </c>
      <c r="H38" s="24">
        <v>0</v>
      </c>
      <c r="I38" s="24">
        <v>6.25</v>
      </c>
      <c r="J38" s="24">
        <f t="shared" si="0"/>
        <v>9.2399999999999984</v>
      </c>
      <c r="K38" s="24" t="s">
        <v>475</v>
      </c>
      <c r="L38" s="25">
        <f>+J38</f>
        <v>9.2399999999999984</v>
      </c>
    </row>
    <row r="39" spans="1:12">
      <c r="A39" s="27">
        <v>27</v>
      </c>
      <c r="B39" s="37">
        <v>200940475</v>
      </c>
      <c r="C39" s="38" t="s">
        <v>67</v>
      </c>
      <c r="D39" s="24">
        <v>8.2799999999999994</v>
      </c>
      <c r="E39" s="24">
        <v>3.9</v>
      </c>
      <c r="F39" s="24">
        <v>5.93</v>
      </c>
      <c r="G39" s="24">
        <v>5.22</v>
      </c>
      <c r="H39" s="24">
        <v>6.63</v>
      </c>
      <c r="I39" s="24">
        <v>17.899999999999999</v>
      </c>
      <c r="J39" s="24">
        <f t="shared" si="0"/>
        <v>47.859999999999992</v>
      </c>
      <c r="K39" s="24">
        <v>12.65</v>
      </c>
      <c r="L39" s="25">
        <f t="shared" si="1"/>
        <v>60.509999999999991</v>
      </c>
    </row>
    <row r="40" spans="1:12">
      <c r="A40" s="27">
        <v>28</v>
      </c>
      <c r="B40" s="37">
        <v>200940477</v>
      </c>
      <c r="C40" s="38" t="s">
        <v>68</v>
      </c>
      <c r="D40" s="24">
        <v>8.08</v>
      </c>
      <c r="E40" s="24">
        <v>5.2</v>
      </c>
      <c r="F40" s="24">
        <v>6.8</v>
      </c>
      <c r="G40" s="24">
        <v>6.13</v>
      </c>
      <c r="H40" s="24">
        <v>6.52</v>
      </c>
      <c r="I40" s="24">
        <v>18.5</v>
      </c>
      <c r="J40" s="24">
        <f t="shared" si="0"/>
        <v>51.23</v>
      </c>
      <c r="K40" s="24">
        <v>7.83</v>
      </c>
      <c r="L40" s="25">
        <f t="shared" si="1"/>
        <v>59.059999999999995</v>
      </c>
    </row>
    <row r="41" spans="1:12">
      <c r="A41" s="27">
        <v>29</v>
      </c>
      <c r="B41" s="37">
        <v>200940482</v>
      </c>
      <c r="C41" s="38" t="s">
        <v>69</v>
      </c>
      <c r="D41" s="24">
        <v>6.93</v>
      </c>
      <c r="E41" s="24">
        <v>5.75</v>
      </c>
      <c r="F41" s="24">
        <v>8</v>
      </c>
      <c r="G41" s="24">
        <v>5.89</v>
      </c>
      <c r="H41" s="24">
        <v>6.52</v>
      </c>
      <c r="I41" s="24">
        <v>19.399999999999999</v>
      </c>
      <c r="J41" s="24">
        <f t="shared" si="0"/>
        <v>52.49</v>
      </c>
      <c r="K41" s="24">
        <v>11.5</v>
      </c>
      <c r="L41" s="25">
        <f t="shared" si="1"/>
        <v>63.99</v>
      </c>
    </row>
    <row r="42" spans="1:12">
      <c r="A42" s="27">
        <v>30</v>
      </c>
      <c r="B42" s="40">
        <v>200940485</v>
      </c>
      <c r="C42" s="42" t="s">
        <v>70</v>
      </c>
      <c r="D42" s="24">
        <v>8.91</v>
      </c>
      <c r="E42" s="24">
        <v>3.05</v>
      </c>
      <c r="F42" s="24">
        <v>0.6</v>
      </c>
      <c r="G42" s="24">
        <v>0</v>
      </c>
      <c r="H42" s="24">
        <v>0</v>
      </c>
      <c r="I42" s="24">
        <v>6.1</v>
      </c>
      <c r="J42" s="24">
        <f t="shared" si="0"/>
        <v>18.66</v>
      </c>
      <c r="K42" s="24" t="s">
        <v>475</v>
      </c>
      <c r="L42" s="25">
        <f>+J42</f>
        <v>18.66</v>
      </c>
    </row>
    <row r="43" spans="1:12">
      <c r="A43" s="27">
        <v>31</v>
      </c>
      <c r="B43" s="37">
        <v>200940487</v>
      </c>
      <c r="C43" s="38" t="s">
        <v>71</v>
      </c>
      <c r="D43" s="24">
        <v>2.71</v>
      </c>
      <c r="E43" s="24">
        <v>1.3</v>
      </c>
      <c r="F43" s="24">
        <v>0.6</v>
      </c>
      <c r="G43" s="24">
        <v>4.4000000000000004</v>
      </c>
      <c r="H43" s="24">
        <v>0</v>
      </c>
      <c r="I43" s="24">
        <v>8.5</v>
      </c>
      <c r="J43" s="24">
        <f t="shared" si="0"/>
        <v>17.510000000000002</v>
      </c>
      <c r="K43" s="24" t="s">
        <v>475</v>
      </c>
      <c r="L43" s="25">
        <f t="shared" ref="L43:L44" si="4">+J43</f>
        <v>17.510000000000002</v>
      </c>
    </row>
    <row r="44" spans="1:12">
      <c r="A44" s="27">
        <v>32</v>
      </c>
      <c r="B44" s="37">
        <v>200940501</v>
      </c>
      <c r="C44" s="41" t="s">
        <v>72</v>
      </c>
      <c r="D44" s="24">
        <v>3.91</v>
      </c>
      <c r="E44" s="24">
        <v>2.95</v>
      </c>
      <c r="F44" s="24">
        <v>3.3</v>
      </c>
      <c r="G44" s="24">
        <v>1.78</v>
      </c>
      <c r="H44" s="24">
        <v>0</v>
      </c>
      <c r="I44" s="24">
        <v>9.5</v>
      </c>
      <c r="J44" s="24">
        <f t="shared" si="0"/>
        <v>21.439999999999998</v>
      </c>
      <c r="K44" s="24" t="s">
        <v>475</v>
      </c>
      <c r="L44" s="25">
        <f t="shared" si="4"/>
        <v>21.439999999999998</v>
      </c>
    </row>
    <row r="45" spans="1:12">
      <c r="A45" s="27">
        <v>33</v>
      </c>
      <c r="B45" s="37">
        <v>200940509</v>
      </c>
      <c r="C45" s="38" t="s">
        <v>73</v>
      </c>
      <c r="D45" s="24">
        <v>4.32</v>
      </c>
      <c r="E45" s="24">
        <v>9.25</v>
      </c>
      <c r="F45" s="24">
        <v>9.5</v>
      </c>
      <c r="G45" s="24">
        <v>10.7</v>
      </c>
      <c r="H45" s="24">
        <v>10.06</v>
      </c>
      <c r="I45" s="24">
        <v>19.5</v>
      </c>
      <c r="J45" s="24">
        <f t="shared" si="0"/>
        <v>63.330000000000005</v>
      </c>
      <c r="K45" s="24">
        <v>14.44</v>
      </c>
      <c r="L45" s="25">
        <f t="shared" si="1"/>
        <v>77.77000000000001</v>
      </c>
    </row>
    <row r="46" spans="1:12">
      <c r="A46" s="27">
        <v>34</v>
      </c>
      <c r="B46" s="37">
        <v>200940510</v>
      </c>
      <c r="C46" s="38" t="s">
        <v>74</v>
      </c>
      <c r="D46" s="24">
        <v>2.69</v>
      </c>
      <c r="E46" s="24">
        <v>1.65</v>
      </c>
      <c r="F46" s="24">
        <v>0.9</v>
      </c>
      <c r="G46" s="24">
        <v>0</v>
      </c>
      <c r="H46" s="24">
        <v>0</v>
      </c>
      <c r="I46" s="24">
        <v>5</v>
      </c>
      <c r="J46" s="24">
        <f t="shared" si="0"/>
        <v>10.24</v>
      </c>
      <c r="K46" s="24" t="s">
        <v>475</v>
      </c>
      <c r="L46" s="25">
        <f>+J46</f>
        <v>10.24</v>
      </c>
    </row>
    <row r="47" spans="1:12">
      <c r="A47" s="27">
        <v>35</v>
      </c>
      <c r="B47" s="37">
        <v>200940515</v>
      </c>
      <c r="C47" s="42" t="s">
        <v>75</v>
      </c>
      <c r="D47" s="24">
        <v>2.7</v>
      </c>
      <c r="E47" s="24">
        <v>2.5499999999999998</v>
      </c>
      <c r="F47" s="24">
        <v>2.5</v>
      </c>
      <c r="G47" s="24">
        <v>0</v>
      </c>
      <c r="H47" s="24">
        <v>0</v>
      </c>
      <c r="I47" s="24">
        <v>5.5</v>
      </c>
      <c r="J47" s="24">
        <f t="shared" si="0"/>
        <v>13.25</v>
      </c>
      <c r="K47" s="24" t="s">
        <v>475</v>
      </c>
      <c r="L47" s="25">
        <f>+J47</f>
        <v>13.25</v>
      </c>
    </row>
    <row r="48" spans="1:12">
      <c r="A48" s="27">
        <v>36</v>
      </c>
      <c r="B48" s="37">
        <v>200940517</v>
      </c>
      <c r="C48" s="38" t="s">
        <v>76</v>
      </c>
      <c r="D48" s="24">
        <v>6.78</v>
      </c>
      <c r="E48" s="24">
        <v>0</v>
      </c>
      <c r="F48" s="24">
        <v>7.23</v>
      </c>
      <c r="G48" s="24">
        <v>7.15</v>
      </c>
      <c r="H48" s="24">
        <v>5.9</v>
      </c>
      <c r="I48" s="24">
        <v>17.850000000000001</v>
      </c>
      <c r="J48" s="24">
        <f t="shared" si="0"/>
        <v>44.91</v>
      </c>
      <c r="K48" s="24">
        <v>15.6</v>
      </c>
      <c r="L48" s="25">
        <f t="shared" si="1"/>
        <v>60.51</v>
      </c>
    </row>
    <row r="49" spans="1:12">
      <c r="A49" s="27">
        <v>37</v>
      </c>
      <c r="B49" s="43">
        <v>200940518</v>
      </c>
      <c r="C49" s="44" t="s">
        <v>77</v>
      </c>
      <c r="D49" s="24">
        <v>3.6</v>
      </c>
      <c r="E49" s="24">
        <v>2.65</v>
      </c>
      <c r="F49" s="24">
        <v>5.7</v>
      </c>
      <c r="G49" s="24">
        <v>6.17</v>
      </c>
      <c r="H49" s="24">
        <v>0</v>
      </c>
      <c r="I49" s="24">
        <v>11.75</v>
      </c>
      <c r="J49" s="24">
        <f t="shared" si="0"/>
        <v>29.87</v>
      </c>
      <c r="K49" s="24" t="s">
        <v>475</v>
      </c>
      <c r="L49" s="25">
        <f>+J49</f>
        <v>29.87</v>
      </c>
    </row>
    <row r="50" spans="1:12">
      <c r="A50" s="27">
        <v>38</v>
      </c>
      <c r="B50" s="45">
        <v>200940525</v>
      </c>
      <c r="C50" s="46" t="s">
        <v>78</v>
      </c>
      <c r="D50" s="24">
        <v>8.36</v>
      </c>
      <c r="E50" s="24">
        <v>4.0999999999999996</v>
      </c>
      <c r="F50" s="24">
        <v>4.7</v>
      </c>
      <c r="G50" s="24">
        <v>4.22</v>
      </c>
      <c r="H50" s="24">
        <v>3.96</v>
      </c>
      <c r="I50" s="24">
        <v>17.8</v>
      </c>
      <c r="J50" s="24">
        <f t="shared" si="0"/>
        <v>43.14</v>
      </c>
      <c r="K50" s="24">
        <v>9.43</v>
      </c>
      <c r="L50" s="25">
        <f t="shared" si="1"/>
        <v>52.57</v>
      </c>
    </row>
    <row r="51" spans="1:12">
      <c r="A51" s="27">
        <v>39</v>
      </c>
      <c r="B51" s="47">
        <v>200940530</v>
      </c>
      <c r="C51" s="48" t="s">
        <v>79</v>
      </c>
      <c r="D51" s="24">
        <v>5.77</v>
      </c>
      <c r="E51" s="24">
        <v>2.7</v>
      </c>
      <c r="F51" s="24">
        <v>3.8</v>
      </c>
      <c r="G51" s="24">
        <v>2.67</v>
      </c>
      <c r="H51" s="24">
        <v>2.4900000000000002</v>
      </c>
      <c r="I51" s="24">
        <v>15.15</v>
      </c>
      <c r="J51" s="24">
        <f t="shared" si="0"/>
        <v>32.58</v>
      </c>
      <c r="K51" s="24" t="s">
        <v>475</v>
      </c>
      <c r="L51" s="25">
        <f>+J51</f>
        <v>32.58</v>
      </c>
    </row>
    <row r="52" spans="1:12">
      <c r="A52" s="27">
        <v>40</v>
      </c>
      <c r="B52" s="37">
        <v>200940531</v>
      </c>
      <c r="C52" s="39" t="s">
        <v>80</v>
      </c>
      <c r="D52" s="24">
        <v>2.16</v>
      </c>
      <c r="E52" s="24">
        <v>1.7</v>
      </c>
      <c r="F52" s="24">
        <v>0</v>
      </c>
      <c r="G52" s="24">
        <v>0</v>
      </c>
      <c r="H52" s="24">
        <v>0</v>
      </c>
      <c r="I52" s="24">
        <v>4.0999999999999996</v>
      </c>
      <c r="J52" s="24">
        <f t="shared" si="0"/>
        <v>7.96</v>
      </c>
      <c r="K52" s="24" t="s">
        <v>475</v>
      </c>
      <c r="L52" s="25">
        <f t="shared" ref="L52:L55" si="5">+J52</f>
        <v>7.96</v>
      </c>
    </row>
    <row r="53" spans="1:12">
      <c r="A53" s="27">
        <v>41</v>
      </c>
      <c r="B53" s="37">
        <v>200940532</v>
      </c>
      <c r="C53" s="38" t="s">
        <v>81</v>
      </c>
      <c r="D53" s="24">
        <v>6.55</v>
      </c>
      <c r="E53" s="24">
        <v>3.48</v>
      </c>
      <c r="F53" s="24">
        <v>5.67</v>
      </c>
      <c r="G53" s="24">
        <v>4.47</v>
      </c>
      <c r="H53" s="24">
        <v>4.47</v>
      </c>
      <c r="I53" s="24">
        <v>18.05</v>
      </c>
      <c r="J53" s="24">
        <f t="shared" si="0"/>
        <v>42.689999999999991</v>
      </c>
      <c r="K53" s="24">
        <v>11.65</v>
      </c>
      <c r="L53" s="25">
        <f>+K53+J53</f>
        <v>54.339999999999989</v>
      </c>
    </row>
    <row r="54" spans="1:12">
      <c r="A54" s="27">
        <v>42</v>
      </c>
      <c r="B54" s="40">
        <v>200940564</v>
      </c>
      <c r="C54" s="42" t="s">
        <v>82</v>
      </c>
      <c r="D54" s="24">
        <v>7.18</v>
      </c>
      <c r="E54" s="24" t="s">
        <v>432</v>
      </c>
      <c r="F54" s="24">
        <v>6.66</v>
      </c>
      <c r="G54" s="24">
        <v>0</v>
      </c>
      <c r="H54" s="24">
        <v>0</v>
      </c>
      <c r="I54" s="24">
        <v>6.75</v>
      </c>
      <c r="J54" s="24">
        <f>+I54+H54+G54+F54+D54</f>
        <v>20.59</v>
      </c>
      <c r="K54" s="24" t="s">
        <v>475</v>
      </c>
      <c r="L54" s="25">
        <f t="shared" si="5"/>
        <v>20.59</v>
      </c>
    </row>
    <row r="55" spans="1:12">
      <c r="A55" s="27">
        <v>43</v>
      </c>
      <c r="B55" s="49">
        <v>200940775</v>
      </c>
      <c r="C55" s="50" t="s">
        <v>83</v>
      </c>
      <c r="D55" s="24">
        <v>2.78</v>
      </c>
      <c r="E55" s="24">
        <v>1.4</v>
      </c>
      <c r="F55" s="24">
        <v>2.5299999999999998</v>
      </c>
      <c r="G55" s="24">
        <v>0</v>
      </c>
      <c r="H55" s="24">
        <v>0</v>
      </c>
      <c r="I55" s="24">
        <v>5.3</v>
      </c>
      <c r="J55" s="24">
        <f t="shared" si="0"/>
        <v>12.01</v>
      </c>
      <c r="K55" s="24" t="s">
        <v>475</v>
      </c>
      <c r="L55" s="25">
        <f t="shared" si="5"/>
        <v>12.01</v>
      </c>
    </row>
    <row r="56" spans="1:12">
      <c r="A56" s="27">
        <v>44</v>
      </c>
      <c r="B56" s="45">
        <v>200940802</v>
      </c>
      <c r="C56" s="46" t="s">
        <v>84</v>
      </c>
      <c r="D56" s="24">
        <v>3</v>
      </c>
      <c r="E56" s="24">
        <v>6.68</v>
      </c>
      <c r="F56" s="24">
        <v>4.8</v>
      </c>
      <c r="G56" s="24">
        <v>6.63</v>
      </c>
      <c r="H56" s="24">
        <v>4.57</v>
      </c>
      <c r="I56" s="24">
        <v>18.75</v>
      </c>
      <c r="J56" s="24">
        <f t="shared" si="0"/>
        <v>44.43</v>
      </c>
      <c r="K56" s="24">
        <v>6.73</v>
      </c>
      <c r="L56" s="25">
        <f t="shared" si="1"/>
        <v>51.16</v>
      </c>
    </row>
    <row r="57" spans="1:12">
      <c r="A57" s="27">
        <v>45</v>
      </c>
      <c r="B57" s="45">
        <v>200942768</v>
      </c>
      <c r="C57" s="46" t="s">
        <v>85</v>
      </c>
      <c r="D57" s="24">
        <v>7.04</v>
      </c>
      <c r="E57" s="24">
        <v>2.73</v>
      </c>
      <c r="F57" s="24">
        <v>6.3</v>
      </c>
      <c r="G57" s="24">
        <v>1.1299999999999999</v>
      </c>
      <c r="H57" s="24">
        <v>0</v>
      </c>
      <c r="I57" s="24">
        <v>9</v>
      </c>
      <c r="J57" s="24">
        <f t="shared" si="0"/>
        <v>26.2</v>
      </c>
      <c r="K57" s="24" t="s">
        <v>475</v>
      </c>
      <c r="L57" s="25">
        <f>+J57</f>
        <v>26.2</v>
      </c>
    </row>
    <row r="58" spans="1:12">
      <c r="A58" s="27">
        <v>46</v>
      </c>
      <c r="B58" s="37">
        <v>200943635</v>
      </c>
      <c r="C58" s="38" t="s">
        <v>86</v>
      </c>
      <c r="D58" s="24">
        <v>5.65</v>
      </c>
      <c r="E58" s="24">
        <v>8.23</v>
      </c>
      <c r="F58" s="24">
        <v>6.6</v>
      </c>
      <c r="G58" s="24">
        <v>3.92</v>
      </c>
      <c r="H58" s="24">
        <v>1.4</v>
      </c>
      <c r="I58" s="24">
        <v>17.5</v>
      </c>
      <c r="J58" s="24">
        <f t="shared" si="0"/>
        <v>43.300000000000004</v>
      </c>
      <c r="K58" s="24">
        <v>8.5</v>
      </c>
      <c r="L58" s="25">
        <f t="shared" si="1"/>
        <v>51.800000000000004</v>
      </c>
    </row>
    <row r="59" spans="1:12">
      <c r="A59" s="27">
        <v>47</v>
      </c>
      <c r="B59" s="37">
        <v>200944076</v>
      </c>
      <c r="C59" s="38" t="s">
        <v>87</v>
      </c>
      <c r="D59" s="24">
        <v>3.93</v>
      </c>
      <c r="E59" s="24">
        <v>4.38</v>
      </c>
      <c r="F59" s="24">
        <v>4.5</v>
      </c>
      <c r="G59" s="24">
        <v>1.83</v>
      </c>
      <c r="H59" s="24">
        <v>0</v>
      </c>
      <c r="I59" s="24">
        <v>7</v>
      </c>
      <c r="J59" s="24">
        <f t="shared" si="0"/>
        <v>21.64</v>
      </c>
      <c r="K59" s="24" t="s">
        <v>475</v>
      </c>
      <c r="L59" s="25">
        <f>+J59</f>
        <v>21.64</v>
      </c>
    </row>
    <row r="60" spans="1:12">
      <c r="A60" s="27">
        <v>48</v>
      </c>
      <c r="B60" s="37">
        <v>200944407</v>
      </c>
      <c r="C60" s="38" t="s">
        <v>88</v>
      </c>
      <c r="D60" s="24">
        <v>4.28</v>
      </c>
      <c r="E60" s="24">
        <v>3.1</v>
      </c>
      <c r="F60" s="24">
        <v>2.5</v>
      </c>
      <c r="G60" s="24">
        <v>0</v>
      </c>
      <c r="H60" s="24">
        <v>0</v>
      </c>
      <c r="I60" s="24">
        <v>4.5999999999999996</v>
      </c>
      <c r="J60" s="24">
        <f t="shared" si="0"/>
        <v>14.48</v>
      </c>
      <c r="K60" s="24" t="s">
        <v>475</v>
      </c>
      <c r="L60" s="25">
        <f>+J60</f>
        <v>14.48</v>
      </c>
    </row>
    <row r="61" spans="1:12">
      <c r="A61" s="27">
        <v>49</v>
      </c>
      <c r="B61" s="37">
        <v>200945275</v>
      </c>
      <c r="C61" s="38" t="s">
        <v>89</v>
      </c>
      <c r="D61" s="24">
        <v>7.96</v>
      </c>
      <c r="E61" s="24">
        <v>6.23</v>
      </c>
      <c r="F61" s="24">
        <v>7.6</v>
      </c>
      <c r="G61" s="24">
        <v>5.86</v>
      </c>
      <c r="H61" s="24">
        <v>7.1</v>
      </c>
      <c r="I61" s="24">
        <v>18.350000000000001</v>
      </c>
      <c r="J61" s="24">
        <f t="shared" si="0"/>
        <v>53.1</v>
      </c>
      <c r="K61" s="24">
        <v>10.09</v>
      </c>
      <c r="L61" s="25">
        <f t="shared" si="1"/>
        <v>63.19</v>
      </c>
    </row>
    <row r="62" spans="1:12">
      <c r="A62" s="27">
        <v>50</v>
      </c>
      <c r="B62" s="37">
        <v>200945795</v>
      </c>
      <c r="C62" s="38" t="s">
        <v>90</v>
      </c>
      <c r="D62" s="24">
        <v>1.03</v>
      </c>
      <c r="E62" s="24">
        <v>0.65</v>
      </c>
      <c r="F62" s="24">
        <v>1.3</v>
      </c>
      <c r="G62" s="24">
        <v>0</v>
      </c>
      <c r="H62" s="24">
        <v>0</v>
      </c>
      <c r="I62" s="24">
        <v>4.5999999999999996</v>
      </c>
      <c r="J62" s="24">
        <f t="shared" si="0"/>
        <v>7.58</v>
      </c>
      <c r="K62" s="24" t="s">
        <v>475</v>
      </c>
      <c r="L62" s="25">
        <f>+J62</f>
        <v>7.58</v>
      </c>
    </row>
    <row r="63" spans="1:12">
      <c r="A63" s="29"/>
      <c r="B63" s="29"/>
      <c r="C63" s="30"/>
      <c r="D63" s="31"/>
      <c r="E63" s="31"/>
      <c r="F63" s="31"/>
      <c r="G63" s="31"/>
      <c r="H63" s="31"/>
      <c r="I63" s="31"/>
      <c r="J63" s="31"/>
      <c r="K63" s="31"/>
      <c r="L63" s="32"/>
    </row>
    <row r="64" spans="1:12">
      <c r="A64" s="29"/>
      <c r="B64" s="29"/>
      <c r="C64" s="30"/>
      <c r="D64" s="31"/>
      <c r="E64" s="31"/>
      <c r="F64" s="31"/>
      <c r="G64" s="31"/>
      <c r="H64" s="31"/>
      <c r="I64" s="31"/>
      <c r="J64" s="31"/>
      <c r="K64" s="31"/>
      <c r="L64" s="32"/>
    </row>
    <row r="65" spans="1:12" ht="17.25" thickBot="1">
      <c r="A65" s="33"/>
      <c r="B65" s="33"/>
      <c r="C65" s="34"/>
      <c r="D65" s="31"/>
      <c r="E65" s="31"/>
      <c r="F65" s="31"/>
      <c r="G65" s="31"/>
      <c r="H65" s="35"/>
      <c r="I65" s="35"/>
      <c r="J65" s="35"/>
      <c r="K65" s="9"/>
      <c r="L65" s="32"/>
    </row>
    <row r="66" spans="1:12">
      <c r="H66" s="100" t="s">
        <v>429</v>
      </c>
      <c r="I66" s="100"/>
      <c r="J66" s="100"/>
      <c r="L66" s="1"/>
    </row>
    <row r="67" spans="1:12">
      <c r="D67" s="36"/>
      <c r="H67" s="100" t="s">
        <v>430</v>
      </c>
      <c r="I67" s="100"/>
      <c r="J67" s="100"/>
      <c r="L67" s="1"/>
    </row>
    <row r="68" spans="1:12">
      <c r="D68" s="36"/>
      <c r="H68" s="100" t="s">
        <v>431</v>
      </c>
      <c r="I68" s="100"/>
      <c r="J68" s="100"/>
      <c r="L68" s="1"/>
    </row>
    <row r="87" spans="1:10" ht="17.25" thickBot="1">
      <c r="A87" s="1" t="s">
        <v>0</v>
      </c>
      <c r="I87" s="3"/>
    </row>
    <row r="88" spans="1:10">
      <c r="A88" s="1" t="s">
        <v>1</v>
      </c>
      <c r="F88" s="4"/>
      <c r="G88" s="5"/>
      <c r="H88" s="6"/>
      <c r="I88" s="7"/>
    </row>
    <row r="89" spans="1:10">
      <c r="A89" s="8" t="s">
        <v>2</v>
      </c>
      <c r="B89" s="9"/>
      <c r="E89" s="7"/>
      <c r="F89" s="10"/>
      <c r="G89" s="11"/>
      <c r="H89" s="12"/>
      <c r="I89" s="7"/>
    </row>
    <row r="90" spans="1:10" ht="17.25" thickBot="1">
      <c r="A90" s="13" t="s">
        <v>3</v>
      </c>
      <c r="B90" s="9"/>
      <c r="E90" s="7"/>
      <c r="F90" s="10"/>
      <c r="G90" s="11"/>
      <c r="H90" s="12"/>
      <c r="I90" s="7"/>
    </row>
    <row r="91" spans="1:10" ht="17.25" thickBot="1">
      <c r="A91" s="14" t="s">
        <v>22</v>
      </c>
      <c r="B91" s="15"/>
      <c r="C91" s="16"/>
      <c r="E91" s="7"/>
      <c r="F91" s="17"/>
      <c r="G91" s="18"/>
      <c r="H91" s="19"/>
      <c r="I91" s="7"/>
    </row>
    <row r="92" spans="1:10">
      <c r="A92" s="8"/>
      <c r="B92" s="9"/>
      <c r="E92" s="7"/>
      <c r="I92" s="3"/>
    </row>
    <row r="93" spans="1:10">
      <c r="A93" s="1" t="s">
        <v>91</v>
      </c>
      <c r="B93" s="9"/>
      <c r="C93" s="20" t="s">
        <v>99</v>
      </c>
      <c r="E93" s="7"/>
      <c r="I93" s="3"/>
    </row>
    <row r="94" spans="1:10">
      <c r="A94" s="1" t="s">
        <v>4</v>
      </c>
      <c r="C94" s="20" t="s">
        <v>426</v>
      </c>
      <c r="I94" s="3"/>
    </row>
    <row r="95" spans="1:10">
      <c r="A95" s="1" t="s">
        <v>5</v>
      </c>
      <c r="C95" s="20" t="s">
        <v>433</v>
      </c>
    </row>
    <row r="96" spans="1:10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2">
      <c r="A97" s="1"/>
      <c r="C97" s="22" t="s">
        <v>6</v>
      </c>
      <c r="D97" s="22" t="s">
        <v>435</v>
      </c>
      <c r="E97" s="22" t="s">
        <v>435</v>
      </c>
      <c r="F97" s="22" t="s">
        <v>435</v>
      </c>
      <c r="G97" s="22" t="s">
        <v>435</v>
      </c>
      <c r="H97" s="22" t="s">
        <v>435</v>
      </c>
      <c r="I97" s="22" t="s">
        <v>7</v>
      </c>
      <c r="J97" s="22" t="s">
        <v>8</v>
      </c>
      <c r="K97" s="22" t="s">
        <v>7</v>
      </c>
      <c r="L97" s="22" t="s">
        <v>9</v>
      </c>
    </row>
    <row r="98" spans="1:12">
      <c r="A98" s="22" t="s">
        <v>10</v>
      </c>
      <c r="B98" s="22" t="s">
        <v>11</v>
      </c>
      <c r="C98" s="22" t="s">
        <v>12</v>
      </c>
      <c r="D98" s="22" t="s">
        <v>13</v>
      </c>
      <c r="E98" s="22" t="s">
        <v>14</v>
      </c>
      <c r="F98" s="22" t="s">
        <v>15</v>
      </c>
      <c r="G98" s="22" t="s">
        <v>16</v>
      </c>
      <c r="H98" s="22" t="s">
        <v>17</v>
      </c>
      <c r="I98" s="22" t="s">
        <v>95</v>
      </c>
      <c r="J98" s="22" t="s">
        <v>18</v>
      </c>
      <c r="K98" s="22" t="s">
        <v>19</v>
      </c>
      <c r="L98" s="22" t="s">
        <v>20</v>
      </c>
    </row>
    <row r="99" spans="1:12">
      <c r="A99" s="23">
        <v>1</v>
      </c>
      <c r="B99" s="57">
        <v>200742775</v>
      </c>
      <c r="C99" s="60" t="s">
        <v>106</v>
      </c>
      <c r="D99" s="24">
        <v>2.17</v>
      </c>
      <c r="E99" s="24">
        <v>3.6</v>
      </c>
      <c r="F99" s="24">
        <v>5.0999999999999996</v>
      </c>
      <c r="G99" s="24">
        <v>5.27</v>
      </c>
      <c r="H99" s="24">
        <v>0</v>
      </c>
      <c r="I99" s="83">
        <v>5.61</v>
      </c>
      <c r="J99" s="24">
        <f>+I99+H99+G99+F99+E99+D99</f>
        <v>21.75</v>
      </c>
      <c r="K99" s="24" t="s">
        <v>475</v>
      </c>
      <c r="L99" s="25">
        <f>+J99</f>
        <v>21.75</v>
      </c>
    </row>
    <row r="100" spans="1:12">
      <c r="A100" s="26">
        <v>2</v>
      </c>
      <c r="B100" s="45">
        <v>200840061</v>
      </c>
      <c r="C100" s="56" t="s">
        <v>108</v>
      </c>
      <c r="D100" s="24">
        <v>2.1</v>
      </c>
      <c r="E100" s="24">
        <v>2.1</v>
      </c>
      <c r="F100" s="24">
        <v>0</v>
      </c>
      <c r="G100" s="24">
        <v>0</v>
      </c>
      <c r="H100" s="24">
        <v>0</v>
      </c>
      <c r="I100" s="83">
        <v>0.77</v>
      </c>
      <c r="J100" s="24">
        <f>+I100+H100+G100+F100+E100+D100</f>
        <v>4.9700000000000006</v>
      </c>
      <c r="K100" s="24" t="s">
        <v>475</v>
      </c>
      <c r="L100" s="25">
        <f t="shared" ref="L100:L103" si="6">+J100</f>
        <v>4.9700000000000006</v>
      </c>
    </row>
    <row r="101" spans="1:12">
      <c r="A101" s="27">
        <v>3</v>
      </c>
      <c r="B101" s="45">
        <v>200840078</v>
      </c>
      <c r="C101" s="56" t="s">
        <v>110</v>
      </c>
      <c r="D101" s="24">
        <v>2.33</v>
      </c>
      <c r="E101" s="24">
        <v>0.6</v>
      </c>
      <c r="F101" s="24">
        <v>0</v>
      </c>
      <c r="G101" s="24">
        <v>0</v>
      </c>
      <c r="H101" s="24">
        <v>0</v>
      </c>
      <c r="I101" s="83">
        <v>0.66</v>
      </c>
      <c r="J101" s="24">
        <f t="shared" ref="J101:J138" si="7">+I101+H101+G101+F101+E101+D101</f>
        <v>3.59</v>
      </c>
      <c r="K101" s="24" t="s">
        <v>475</v>
      </c>
      <c r="L101" s="25">
        <f t="shared" si="6"/>
        <v>3.59</v>
      </c>
    </row>
    <row r="102" spans="1:12">
      <c r="A102" s="26">
        <v>4</v>
      </c>
      <c r="B102" s="45">
        <v>200840195</v>
      </c>
      <c r="C102" s="56" t="s">
        <v>113</v>
      </c>
      <c r="D102" s="24">
        <v>3</v>
      </c>
      <c r="E102" s="24">
        <v>3.65</v>
      </c>
      <c r="F102" s="24">
        <v>2.8</v>
      </c>
      <c r="G102" s="24">
        <v>1.1299999999999999</v>
      </c>
      <c r="H102" s="24">
        <v>0</v>
      </c>
      <c r="I102" s="83">
        <v>1.87</v>
      </c>
      <c r="J102" s="24">
        <f t="shared" si="7"/>
        <v>12.45</v>
      </c>
      <c r="K102" s="24" t="s">
        <v>475</v>
      </c>
      <c r="L102" s="25">
        <f t="shared" si="6"/>
        <v>12.45</v>
      </c>
    </row>
    <row r="103" spans="1:12">
      <c r="A103" s="26">
        <v>5</v>
      </c>
      <c r="B103" s="45">
        <v>200840212</v>
      </c>
      <c r="C103" s="56" t="s">
        <v>116</v>
      </c>
      <c r="D103" s="24">
        <v>1.83</v>
      </c>
      <c r="E103" s="24">
        <v>3.35</v>
      </c>
      <c r="F103" s="24">
        <v>0.4</v>
      </c>
      <c r="G103" s="24">
        <v>0</v>
      </c>
      <c r="H103" s="24">
        <v>0</v>
      </c>
      <c r="I103" s="83">
        <v>5.72</v>
      </c>
      <c r="J103" s="24">
        <f t="shared" si="7"/>
        <v>11.3</v>
      </c>
      <c r="K103" s="24" t="s">
        <v>475</v>
      </c>
      <c r="L103" s="25">
        <f t="shared" si="6"/>
        <v>11.3</v>
      </c>
    </row>
    <row r="104" spans="1:12">
      <c r="A104" s="26">
        <v>6</v>
      </c>
      <c r="B104" s="45">
        <v>200840224</v>
      </c>
      <c r="C104" s="56" t="s">
        <v>117</v>
      </c>
      <c r="D104" s="24">
        <v>4.32</v>
      </c>
      <c r="E104" s="24">
        <v>9.1999999999999993</v>
      </c>
      <c r="F104" s="24">
        <v>6.83</v>
      </c>
      <c r="G104" s="24">
        <v>3.24</v>
      </c>
      <c r="H104" s="24">
        <v>7.46</v>
      </c>
      <c r="I104" s="83">
        <v>16.16</v>
      </c>
      <c r="J104" s="24">
        <f t="shared" si="7"/>
        <v>47.21</v>
      </c>
      <c r="K104" s="24">
        <v>14</v>
      </c>
      <c r="L104" s="25">
        <f t="shared" ref="L104:L132" si="8">+K104+J104</f>
        <v>61.21</v>
      </c>
    </row>
    <row r="105" spans="1:12">
      <c r="A105" s="26">
        <v>7</v>
      </c>
      <c r="B105" s="45">
        <v>200840227</v>
      </c>
      <c r="C105" s="56" t="s">
        <v>118</v>
      </c>
      <c r="D105" s="24">
        <v>3.13</v>
      </c>
      <c r="E105" s="24">
        <v>6.12</v>
      </c>
      <c r="F105" s="24">
        <v>4.2</v>
      </c>
      <c r="G105" s="24">
        <v>7.6</v>
      </c>
      <c r="H105" s="24">
        <v>4.05</v>
      </c>
      <c r="I105" s="83">
        <v>16.36</v>
      </c>
      <c r="J105" s="24">
        <f t="shared" si="7"/>
        <v>41.46</v>
      </c>
      <c r="K105" s="24">
        <v>9.9499999999999993</v>
      </c>
      <c r="L105" s="25">
        <f>+K105+J105</f>
        <v>51.41</v>
      </c>
    </row>
    <row r="106" spans="1:12">
      <c r="A106" s="26">
        <v>8</v>
      </c>
      <c r="B106" s="45">
        <v>200842123</v>
      </c>
      <c r="C106" s="56" t="s">
        <v>123</v>
      </c>
      <c r="D106" s="24">
        <v>9.42</v>
      </c>
      <c r="E106" s="24">
        <v>5.65</v>
      </c>
      <c r="F106" s="24">
        <v>6.55</v>
      </c>
      <c r="G106" s="24">
        <v>6.22</v>
      </c>
      <c r="H106" s="24">
        <v>2</v>
      </c>
      <c r="I106" s="83">
        <v>13.51</v>
      </c>
      <c r="J106" s="24">
        <f t="shared" si="7"/>
        <v>43.35</v>
      </c>
      <c r="K106" s="24">
        <v>11.6</v>
      </c>
      <c r="L106" s="25">
        <f t="shared" si="8"/>
        <v>54.95</v>
      </c>
    </row>
    <row r="107" spans="1:12">
      <c r="A107" s="26">
        <v>9</v>
      </c>
      <c r="B107" s="57">
        <v>200843271</v>
      </c>
      <c r="C107" s="59" t="s">
        <v>124</v>
      </c>
      <c r="D107" s="24">
        <v>0.6</v>
      </c>
      <c r="E107" s="24">
        <v>0.45</v>
      </c>
      <c r="F107" s="24">
        <v>0</v>
      </c>
      <c r="G107" s="24">
        <v>0</v>
      </c>
      <c r="H107" s="24">
        <v>0</v>
      </c>
      <c r="I107" s="83">
        <v>1.25</v>
      </c>
      <c r="J107" s="24">
        <f t="shared" si="7"/>
        <v>2.2999999999999998</v>
      </c>
      <c r="K107" s="24" t="s">
        <v>475</v>
      </c>
      <c r="L107" s="25">
        <f>+J107</f>
        <v>2.2999999999999998</v>
      </c>
    </row>
    <row r="108" spans="1:12">
      <c r="A108" s="26">
        <v>10</v>
      </c>
      <c r="B108" s="45">
        <v>200843353</v>
      </c>
      <c r="C108" s="56" t="s">
        <v>125</v>
      </c>
      <c r="D108" s="24">
        <v>4.0999999999999996</v>
      </c>
      <c r="E108" s="24">
        <v>2.6</v>
      </c>
      <c r="F108" s="24">
        <v>0</v>
      </c>
      <c r="G108" s="24">
        <v>2.73</v>
      </c>
      <c r="H108" s="24">
        <v>0</v>
      </c>
      <c r="I108" s="83">
        <v>7.12</v>
      </c>
      <c r="J108" s="24">
        <f t="shared" si="7"/>
        <v>16.549999999999997</v>
      </c>
      <c r="K108" s="24" t="s">
        <v>475</v>
      </c>
      <c r="L108" s="25">
        <f t="shared" ref="L108:L109" si="9">+J108</f>
        <v>16.549999999999997</v>
      </c>
    </row>
    <row r="109" spans="1:12">
      <c r="A109" s="26">
        <v>11</v>
      </c>
      <c r="B109" s="45">
        <v>200940315</v>
      </c>
      <c r="C109" s="59" t="s">
        <v>126</v>
      </c>
      <c r="D109" s="24">
        <v>3.17</v>
      </c>
      <c r="E109" s="24">
        <v>0</v>
      </c>
      <c r="F109" s="24">
        <v>0</v>
      </c>
      <c r="G109" s="24">
        <v>0</v>
      </c>
      <c r="H109" s="28">
        <v>0</v>
      </c>
      <c r="I109" s="83">
        <v>4.5</v>
      </c>
      <c r="J109" s="24">
        <f t="shared" si="7"/>
        <v>7.67</v>
      </c>
      <c r="K109" s="24" t="s">
        <v>475</v>
      </c>
      <c r="L109" s="25">
        <f t="shared" si="9"/>
        <v>7.67</v>
      </c>
    </row>
    <row r="110" spans="1:12">
      <c r="A110" s="26">
        <v>12</v>
      </c>
      <c r="B110" s="45">
        <v>200940317</v>
      </c>
      <c r="C110" s="56" t="s">
        <v>127</v>
      </c>
      <c r="D110" s="24">
        <v>2.9</v>
      </c>
      <c r="E110" s="24">
        <v>3.47</v>
      </c>
      <c r="F110" s="24">
        <v>7.4</v>
      </c>
      <c r="G110" s="24">
        <v>5.82</v>
      </c>
      <c r="H110" s="28">
        <v>4.6500000000000004</v>
      </c>
      <c r="I110" s="83">
        <v>18.05</v>
      </c>
      <c r="J110" s="24">
        <f t="shared" si="7"/>
        <v>42.29</v>
      </c>
      <c r="K110" s="24">
        <v>10.9</v>
      </c>
      <c r="L110" s="25">
        <f>+J110+K110</f>
        <v>53.19</v>
      </c>
    </row>
    <row r="111" spans="1:12">
      <c r="A111" s="26">
        <v>13</v>
      </c>
      <c r="B111" s="45">
        <v>200940331</v>
      </c>
      <c r="C111" s="56" t="s">
        <v>128</v>
      </c>
      <c r="D111" s="24">
        <v>4.2300000000000004</v>
      </c>
      <c r="E111" s="24">
        <v>6.52</v>
      </c>
      <c r="F111" s="24">
        <v>7.67</v>
      </c>
      <c r="G111" s="24">
        <v>6.75</v>
      </c>
      <c r="H111" s="28">
        <v>4.8499999999999996</v>
      </c>
      <c r="I111" s="83">
        <v>18.329999999999998</v>
      </c>
      <c r="J111" s="24">
        <f t="shared" si="7"/>
        <v>48.350000000000009</v>
      </c>
      <c r="K111" s="24">
        <v>6.2</v>
      </c>
      <c r="L111" s="25">
        <f t="shared" si="8"/>
        <v>54.550000000000011</v>
      </c>
    </row>
    <row r="112" spans="1:12">
      <c r="A112" s="23">
        <v>14</v>
      </c>
      <c r="B112" s="45">
        <v>200940334</v>
      </c>
      <c r="C112" s="59" t="s">
        <v>129</v>
      </c>
      <c r="D112" s="24">
        <v>2.4700000000000002</v>
      </c>
      <c r="E112" s="24">
        <v>4.6500000000000004</v>
      </c>
      <c r="F112" s="24">
        <v>3.6</v>
      </c>
      <c r="G112" s="24">
        <v>4.08</v>
      </c>
      <c r="H112" s="28">
        <v>5.6</v>
      </c>
      <c r="I112" s="83">
        <v>12.71</v>
      </c>
      <c r="J112" s="24">
        <f t="shared" si="7"/>
        <v>33.11</v>
      </c>
      <c r="K112" s="24" t="s">
        <v>475</v>
      </c>
      <c r="L112" s="25">
        <f>+J112</f>
        <v>33.11</v>
      </c>
    </row>
    <row r="113" spans="1:12">
      <c r="A113" s="23">
        <v>15</v>
      </c>
      <c r="B113" s="57">
        <v>200940336</v>
      </c>
      <c r="C113" s="58" t="s">
        <v>130</v>
      </c>
      <c r="D113" s="24">
        <v>2.87</v>
      </c>
      <c r="E113" s="24">
        <v>8.57</v>
      </c>
      <c r="F113" s="24">
        <v>5.5</v>
      </c>
      <c r="G113" s="24">
        <v>6.5</v>
      </c>
      <c r="H113" s="24">
        <v>6.41</v>
      </c>
      <c r="I113" s="83">
        <v>16.670000000000002</v>
      </c>
      <c r="J113" s="24">
        <f t="shared" si="7"/>
        <v>46.519999999999996</v>
      </c>
      <c r="K113" s="24">
        <v>14.55</v>
      </c>
      <c r="L113" s="25">
        <f t="shared" si="8"/>
        <v>61.069999999999993</v>
      </c>
    </row>
    <row r="114" spans="1:12">
      <c r="A114" s="23">
        <v>16</v>
      </c>
      <c r="B114" s="45">
        <v>200940345</v>
      </c>
      <c r="C114" s="56" t="s">
        <v>131</v>
      </c>
      <c r="D114" s="24">
        <v>3.7</v>
      </c>
      <c r="E114" s="24">
        <v>4.25</v>
      </c>
      <c r="F114" s="24">
        <v>6.37</v>
      </c>
      <c r="G114" s="24">
        <v>7.74</v>
      </c>
      <c r="H114" s="24">
        <v>2.15</v>
      </c>
      <c r="I114" s="83">
        <v>17.77</v>
      </c>
      <c r="J114" s="24">
        <f t="shared" si="7"/>
        <v>41.98</v>
      </c>
      <c r="K114" s="24">
        <v>17</v>
      </c>
      <c r="L114" s="25">
        <f>+K114+J114</f>
        <v>58.98</v>
      </c>
    </row>
    <row r="115" spans="1:12">
      <c r="A115" s="23">
        <v>17</v>
      </c>
      <c r="B115" s="45">
        <v>200940347</v>
      </c>
      <c r="C115" s="56" t="s">
        <v>132</v>
      </c>
      <c r="D115" s="24">
        <v>2.33</v>
      </c>
      <c r="E115" s="24">
        <v>1.45</v>
      </c>
      <c r="F115" s="24">
        <v>0.2</v>
      </c>
      <c r="G115" s="24">
        <v>1.47</v>
      </c>
      <c r="H115" s="24">
        <v>0</v>
      </c>
      <c r="I115" s="83">
        <v>4.96</v>
      </c>
      <c r="J115" s="24">
        <f t="shared" si="7"/>
        <v>10.41</v>
      </c>
      <c r="K115" s="24" t="s">
        <v>475</v>
      </c>
      <c r="L115" s="25">
        <f t="shared" ref="L115:L116" si="10">+J115</f>
        <v>10.41</v>
      </c>
    </row>
    <row r="116" spans="1:12">
      <c r="A116" s="27">
        <v>18</v>
      </c>
      <c r="B116" s="45">
        <v>200940349</v>
      </c>
      <c r="C116" s="59" t="s">
        <v>133</v>
      </c>
      <c r="D116" s="24">
        <v>4.28</v>
      </c>
      <c r="E116" s="24">
        <v>5.5</v>
      </c>
      <c r="F116" s="24">
        <v>6.8</v>
      </c>
      <c r="G116" s="24">
        <v>5.12</v>
      </c>
      <c r="H116" s="24">
        <v>3.45</v>
      </c>
      <c r="I116" s="83">
        <v>12.69</v>
      </c>
      <c r="J116" s="24">
        <f t="shared" si="7"/>
        <v>37.840000000000003</v>
      </c>
      <c r="K116" s="24" t="s">
        <v>475</v>
      </c>
      <c r="L116" s="25">
        <f t="shared" si="10"/>
        <v>37.840000000000003</v>
      </c>
    </row>
    <row r="117" spans="1:12">
      <c r="A117" s="27">
        <v>19</v>
      </c>
      <c r="B117" s="45">
        <v>200940350</v>
      </c>
      <c r="C117" s="56" t="s">
        <v>134</v>
      </c>
      <c r="D117" s="24">
        <v>4.04</v>
      </c>
      <c r="E117" s="24">
        <v>7.5</v>
      </c>
      <c r="F117" s="24">
        <v>6.75</v>
      </c>
      <c r="G117" s="24">
        <v>6.83</v>
      </c>
      <c r="H117" s="24">
        <v>3.43</v>
      </c>
      <c r="I117" s="83">
        <v>17.55</v>
      </c>
      <c r="J117" s="24">
        <f t="shared" si="7"/>
        <v>46.1</v>
      </c>
      <c r="K117" s="24">
        <v>8.6</v>
      </c>
      <c r="L117" s="25">
        <f t="shared" si="8"/>
        <v>54.7</v>
      </c>
    </row>
    <row r="118" spans="1:12">
      <c r="A118" s="27">
        <v>20</v>
      </c>
      <c r="B118" s="45">
        <v>200940483</v>
      </c>
      <c r="C118" s="56" t="s">
        <v>135</v>
      </c>
      <c r="D118" s="24">
        <v>9.6999999999999993</v>
      </c>
      <c r="E118" s="24">
        <v>9.4</v>
      </c>
      <c r="F118" s="24">
        <v>7.7</v>
      </c>
      <c r="G118" s="24">
        <v>5.67</v>
      </c>
      <c r="H118" s="24">
        <v>5.96</v>
      </c>
      <c r="I118" s="83">
        <v>17.84</v>
      </c>
      <c r="J118" s="24">
        <f t="shared" si="7"/>
        <v>56.269999999999996</v>
      </c>
      <c r="K118" s="24">
        <v>13.2</v>
      </c>
      <c r="L118" s="25">
        <f t="shared" si="8"/>
        <v>69.47</v>
      </c>
    </row>
    <row r="119" spans="1:12">
      <c r="A119" s="27">
        <v>21</v>
      </c>
      <c r="B119" s="45">
        <v>200940489</v>
      </c>
      <c r="C119" s="56" t="s">
        <v>136</v>
      </c>
      <c r="D119" s="24">
        <v>3.77</v>
      </c>
      <c r="E119" s="24">
        <v>5.95</v>
      </c>
      <c r="F119" s="24">
        <v>8.39</v>
      </c>
      <c r="G119" s="24">
        <v>7.75</v>
      </c>
      <c r="H119" s="24">
        <v>4.5999999999999996</v>
      </c>
      <c r="I119" s="83">
        <v>17.5</v>
      </c>
      <c r="J119" s="24">
        <f t="shared" si="7"/>
        <v>47.960000000000008</v>
      </c>
      <c r="K119" s="24">
        <v>11.05</v>
      </c>
      <c r="L119" s="25">
        <f t="shared" si="8"/>
        <v>59.010000000000005</v>
      </c>
    </row>
    <row r="120" spans="1:12">
      <c r="A120" s="27">
        <v>22</v>
      </c>
      <c r="B120" s="45">
        <v>200940504</v>
      </c>
      <c r="C120" s="56" t="s">
        <v>137</v>
      </c>
      <c r="D120" s="24">
        <v>9.77</v>
      </c>
      <c r="E120" s="24">
        <v>6.5</v>
      </c>
      <c r="F120" s="24">
        <v>2.6</v>
      </c>
      <c r="G120" s="24">
        <v>0</v>
      </c>
      <c r="H120" s="24">
        <v>0</v>
      </c>
      <c r="I120" s="83">
        <v>6.19</v>
      </c>
      <c r="J120" s="24">
        <f t="shared" si="7"/>
        <v>25.060000000000002</v>
      </c>
      <c r="K120" s="24" t="s">
        <v>475</v>
      </c>
      <c r="L120" s="25">
        <f>+J120</f>
        <v>25.060000000000002</v>
      </c>
    </row>
    <row r="121" spans="1:12">
      <c r="A121" s="27">
        <v>23</v>
      </c>
      <c r="B121" s="45">
        <v>200940512</v>
      </c>
      <c r="C121" s="56" t="s">
        <v>138</v>
      </c>
      <c r="D121" s="24">
        <v>6.83</v>
      </c>
      <c r="E121" s="24">
        <v>7.7</v>
      </c>
      <c r="F121" s="24">
        <v>2.4</v>
      </c>
      <c r="G121" s="24">
        <v>8.4700000000000006</v>
      </c>
      <c r="H121" s="24">
        <v>1.85</v>
      </c>
      <c r="I121" s="83">
        <v>14.93</v>
      </c>
      <c r="J121" s="24">
        <v>44.85</v>
      </c>
      <c r="K121" s="24">
        <v>16.25</v>
      </c>
      <c r="L121" s="25">
        <f>+K121+J121</f>
        <v>61.1</v>
      </c>
    </row>
    <row r="122" spans="1:12">
      <c r="A122" s="27">
        <v>24</v>
      </c>
      <c r="B122" s="45">
        <v>200940522</v>
      </c>
      <c r="C122" s="56" t="s">
        <v>139</v>
      </c>
      <c r="D122" s="24">
        <v>1.7</v>
      </c>
      <c r="E122" s="24">
        <v>3.8</v>
      </c>
      <c r="F122" s="24">
        <v>2.9</v>
      </c>
      <c r="G122" s="24">
        <v>2.9</v>
      </c>
      <c r="H122" s="24">
        <v>2.5499999999999998</v>
      </c>
      <c r="I122" s="83">
        <v>10.65</v>
      </c>
      <c r="J122" s="24">
        <f t="shared" si="7"/>
        <v>24.499999999999996</v>
      </c>
      <c r="K122" s="24" t="s">
        <v>475</v>
      </c>
      <c r="L122" s="25">
        <f t="shared" ref="L122:L126" si="11">+J122</f>
        <v>24.499999999999996</v>
      </c>
    </row>
    <row r="123" spans="1:12">
      <c r="A123" s="27">
        <v>25</v>
      </c>
      <c r="B123" s="45">
        <v>200940526</v>
      </c>
      <c r="C123" s="56" t="s">
        <v>140</v>
      </c>
      <c r="D123" s="24">
        <v>1.93</v>
      </c>
      <c r="E123" s="24">
        <v>1.7</v>
      </c>
      <c r="F123" s="24">
        <v>2.5499999999999998</v>
      </c>
      <c r="G123" s="24">
        <v>6.83</v>
      </c>
      <c r="H123" s="24">
        <v>0</v>
      </c>
      <c r="I123" s="83">
        <v>6.65</v>
      </c>
      <c r="J123" s="24">
        <f t="shared" si="7"/>
        <v>19.66</v>
      </c>
      <c r="K123" s="24" t="s">
        <v>475</v>
      </c>
      <c r="L123" s="25">
        <f t="shared" si="11"/>
        <v>19.66</v>
      </c>
    </row>
    <row r="124" spans="1:12">
      <c r="A124" s="27">
        <v>26</v>
      </c>
      <c r="B124" s="57">
        <v>200940527</v>
      </c>
      <c r="C124" s="60" t="s">
        <v>141</v>
      </c>
      <c r="D124" s="24">
        <v>9</v>
      </c>
      <c r="E124" s="24">
        <v>5</v>
      </c>
      <c r="F124" s="24">
        <v>2.2999999999999998</v>
      </c>
      <c r="G124" s="24">
        <v>4.3</v>
      </c>
      <c r="H124" s="24">
        <v>1.6</v>
      </c>
      <c r="I124" s="83">
        <v>12.65</v>
      </c>
      <c r="J124" s="24">
        <f t="shared" si="7"/>
        <v>34.85</v>
      </c>
      <c r="K124" s="24" t="s">
        <v>475</v>
      </c>
      <c r="L124" s="25">
        <f t="shared" si="11"/>
        <v>34.85</v>
      </c>
    </row>
    <row r="125" spans="1:12">
      <c r="A125" s="27">
        <v>27</v>
      </c>
      <c r="B125" s="45">
        <v>200940534</v>
      </c>
      <c r="C125" s="56" t="s">
        <v>142</v>
      </c>
      <c r="D125" s="24">
        <v>6.35</v>
      </c>
      <c r="E125" s="24">
        <v>3.05</v>
      </c>
      <c r="F125" s="24">
        <v>3.6</v>
      </c>
      <c r="G125" s="24">
        <v>5.25</v>
      </c>
      <c r="H125" s="24">
        <v>7.36</v>
      </c>
      <c r="I125" s="83">
        <v>19.3</v>
      </c>
      <c r="J125" s="24">
        <f t="shared" si="7"/>
        <v>44.91</v>
      </c>
      <c r="K125" s="24">
        <v>10.6</v>
      </c>
      <c r="L125" s="25">
        <f>+K125+J125</f>
        <v>55.51</v>
      </c>
    </row>
    <row r="126" spans="1:12">
      <c r="A126" s="27">
        <v>28</v>
      </c>
      <c r="B126" s="45">
        <v>200940535</v>
      </c>
      <c r="C126" s="56" t="s">
        <v>143</v>
      </c>
      <c r="D126" s="24">
        <v>4.2</v>
      </c>
      <c r="E126" s="24">
        <v>7</v>
      </c>
      <c r="F126" s="24">
        <v>4.3</v>
      </c>
      <c r="G126" s="24">
        <v>4.97</v>
      </c>
      <c r="H126" s="24">
        <v>0</v>
      </c>
      <c r="I126" s="83">
        <v>9.34</v>
      </c>
      <c r="J126" s="24">
        <f t="shared" si="7"/>
        <v>29.81</v>
      </c>
      <c r="K126" s="24" t="s">
        <v>475</v>
      </c>
      <c r="L126" s="25">
        <f t="shared" si="11"/>
        <v>29.81</v>
      </c>
    </row>
    <row r="127" spans="1:12">
      <c r="A127" s="27">
        <v>29</v>
      </c>
      <c r="B127" s="45">
        <v>200940813</v>
      </c>
      <c r="C127" s="56" t="s">
        <v>144</v>
      </c>
      <c r="D127" s="24">
        <v>3.4</v>
      </c>
      <c r="E127" s="24">
        <v>7.95</v>
      </c>
      <c r="F127" s="24">
        <v>7.53</v>
      </c>
      <c r="G127" s="24">
        <v>9.2799999999999994</v>
      </c>
      <c r="H127" s="24">
        <v>4.25</v>
      </c>
      <c r="I127" s="83">
        <v>17.850000000000001</v>
      </c>
      <c r="J127" s="24">
        <f t="shared" si="7"/>
        <v>50.260000000000005</v>
      </c>
      <c r="K127" s="24">
        <v>11</v>
      </c>
      <c r="L127" s="25">
        <f t="shared" si="8"/>
        <v>61.260000000000005</v>
      </c>
    </row>
    <row r="128" spans="1:12">
      <c r="A128" s="27">
        <v>30</v>
      </c>
      <c r="B128" s="57">
        <v>200940882</v>
      </c>
      <c r="C128" s="58" t="s">
        <v>145</v>
      </c>
      <c r="D128" s="24">
        <v>4.38</v>
      </c>
      <c r="E128" s="24">
        <v>3.45</v>
      </c>
      <c r="F128" s="24">
        <v>3.4</v>
      </c>
      <c r="G128" s="24">
        <v>8.3699999999999992</v>
      </c>
      <c r="H128" s="24">
        <v>5.18</v>
      </c>
      <c r="I128" s="83">
        <v>19.760000000000002</v>
      </c>
      <c r="J128" s="24">
        <f t="shared" si="7"/>
        <v>44.540000000000006</v>
      </c>
      <c r="K128" s="24">
        <v>7.5</v>
      </c>
      <c r="L128" s="25">
        <f>+K128+J128</f>
        <v>52.040000000000006</v>
      </c>
    </row>
    <row r="129" spans="1:12">
      <c r="A129" s="27">
        <v>31</v>
      </c>
      <c r="B129" s="45">
        <v>200941031</v>
      </c>
      <c r="C129" s="56" t="s">
        <v>146</v>
      </c>
      <c r="D129" s="24">
        <v>10.37</v>
      </c>
      <c r="E129" s="24">
        <v>10.77</v>
      </c>
      <c r="F129" s="24">
        <v>6.9</v>
      </c>
      <c r="G129" s="24">
        <v>9.5</v>
      </c>
      <c r="H129" s="24">
        <v>6.23</v>
      </c>
      <c r="I129" s="83">
        <v>13.99</v>
      </c>
      <c r="J129" s="24">
        <f t="shared" si="7"/>
        <v>57.76</v>
      </c>
      <c r="K129" s="24">
        <v>14.55</v>
      </c>
      <c r="L129" s="25">
        <f t="shared" si="8"/>
        <v>72.31</v>
      </c>
    </row>
    <row r="130" spans="1:12">
      <c r="A130" s="27">
        <v>32</v>
      </c>
      <c r="B130" s="45">
        <v>200941043</v>
      </c>
      <c r="C130" s="59" t="s">
        <v>147</v>
      </c>
      <c r="D130" s="24">
        <v>2.1</v>
      </c>
      <c r="E130" s="24">
        <v>3.65</v>
      </c>
      <c r="F130" s="24">
        <v>1.9</v>
      </c>
      <c r="G130" s="24">
        <v>3.67</v>
      </c>
      <c r="H130" s="24">
        <v>0</v>
      </c>
      <c r="I130" s="83">
        <v>8.75</v>
      </c>
      <c r="J130" s="24">
        <f t="shared" si="7"/>
        <v>20.07</v>
      </c>
      <c r="K130" s="24" t="s">
        <v>475</v>
      </c>
      <c r="L130" s="25">
        <f>+J130</f>
        <v>20.07</v>
      </c>
    </row>
    <row r="131" spans="1:12">
      <c r="A131" s="27">
        <v>33</v>
      </c>
      <c r="B131" s="45">
        <v>200941044</v>
      </c>
      <c r="C131" s="56" t="s">
        <v>148</v>
      </c>
      <c r="D131" s="24">
        <v>3.87</v>
      </c>
      <c r="E131" s="24">
        <v>8.75</v>
      </c>
      <c r="F131" s="24">
        <v>8.07</v>
      </c>
      <c r="G131" s="24">
        <v>6.4</v>
      </c>
      <c r="H131" s="24">
        <v>3.7</v>
      </c>
      <c r="I131" s="83">
        <v>15.89</v>
      </c>
      <c r="J131" s="24">
        <f t="shared" si="7"/>
        <v>46.68</v>
      </c>
      <c r="K131" s="24">
        <v>10.4</v>
      </c>
      <c r="L131" s="25">
        <f t="shared" si="8"/>
        <v>57.08</v>
      </c>
    </row>
    <row r="132" spans="1:12">
      <c r="A132" s="27">
        <v>34</v>
      </c>
      <c r="B132" s="57">
        <v>200941046</v>
      </c>
      <c r="C132" s="60" t="s">
        <v>149</v>
      </c>
      <c r="D132" s="24">
        <v>5.63</v>
      </c>
      <c r="E132" s="24">
        <v>10.47</v>
      </c>
      <c r="F132" s="24">
        <v>7.4</v>
      </c>
      <c r="G132" s="24">
        <v>8.77</v>
      </c>
      <c r="H132" s="24">
        <v>6.28</v>
      </c>
      <c r="I132" s="83">
        <v>15.22</v>
      </c>
      <c r="J132" s="24">
        <f t="shared" si="7"/>
        <v>53.77</v>
      </c>
      <c r="K132" s="24">
        <v>0</v>
      </c>
      <c r="L132" s="25">
        <f t="shared" si="8"/>
        <v>53.77</v>
      </c>
    </row>
    <row r="133" spans="1:12">
      <c r="A133" s="27">
        <v>35</v>
      </c>
      <c r="B133" s="57">
        <v>200941422</v>
      </c>
      <c r="C133" s="60" t="s">
        <v>150</v>
      </c>
      <c r="D133" s="24">
        <v>2.4700000000000002</v>
      </c>
      <c r="E133" s="24">
        <v>3.8</v>
      </c>
      <c r="F133" s="24">
        <v>0.2</v>
      </c>
      <c r="G133" s="24">
        <v>0</v>
      </c>
      <c r="H133" s="24">
        <v>0</v>
      </c>
      <c r="I133" s="83">
        <v>3.19</v>
      </c>
      <c r="J133" s="24">
        <f t="shared" si="7"/>
        <v>9.66</v>
      </c>
      <c r="K133" s="24" t="s">
        <v>475</v>
      </c>
      <c r="L133" s="25">
        <f>+J133</f>
        <v>9.66</v>
      </c>
    </row>
    <row r="134" spans="1:12">
      <c r="A134" s="27">
        <v>36</v>
      </c>
      <c r="B134" s="57">
        <v>200941434</v>
      </c>
      <c r="C134" s="56" t="s">
        <v>151</v>
      </c>
      <c r="D134" s="24">
        <v>2.2000000000000002</v>
      </c>
      <c r="E134" s="24">
        <v>0</v>
      </c>
      <c r="F134" s="24">
        <v>0</v>
      </c>
      <c r="G134" s="24">
        <v>0</v>
      </c>
      <c r="H134" s="24">
        <v>0</v>
      </c>
      <c r="I134" s="83">
        <v>5.0199999999999996</v>
      </c>
      <c r="J134" s="24">
        <f t="shared" si="7"/>
        <v>7.22</v>
      </c>
      <c r="K134" s="24" t="s">
        <v>475</v>
      </c>
      <c r="L134" s="25">
        <f t="shared" ref="L134:L150" si="12">+J134</f>
        <v>7.22</v>
      </c>
    </row>
    <row r="135" spans="1:12">
      <c r="A135" s="27">
        <v>37</v>
      </c>
      <c r="B135" s="45">
        <v>200941685</v>
      </c>
      <c r="C135" s="56" t="s">
        <v>152</v>
      </c>
      <c r="D135" s="24">
        <v>1.3</v>
      </c>
      <c r="E135" s="24">
        <v>3.7</v>
      </c>
      <c r="F135" s="24">
        <v>1.8</v>
      </c>
      <c r="G135" s="24">
        <v>2.87</v>
      </c>
      <c r="H135" s="24">
        <v>4.7</v>
      </c>
      <c r="I135" s="83">
        <v>13.89</v>
      </c>
      <c r="J135" s="24">
        <f t="shared" si="7"/>
        <v>28.26</v>
      </c>
      <c r="K135" s="24" t="s">
        <v>475</v>
      </c>
      <c r="L135" s="25">
        <f t="shared" si="12"/>
        <v>28.26</v>
      </c>
    </row>
    <row r="136" spans="1:12">
      <c r="A136" s="27">
        <v>38</v>
      </c>
      <c r="B136" s="45">
        <v>200941860</v>
      </c>
      <c r="C136" s="59" t="s">
        <v>153</v>
      </c>
      <c r="D136" s="24">
        <v>1.3</v>
      </c>
      <c r="E136" s="24">
        <v>0</v>
      </c>
      <c r="F136" s="24">
        <v>0</v>
      </c>
      <c r="G136" s="24">
        <v>0</v>
      </c>
      <c r="H136" s="24">
        <v>0</v>
      </c>
      <c r="I136" s="83">
        <v>8.98</v>
      </c>
      <c r="J136" s="24">
        <f t="shared" si="7"/>
        <v>10.280000000000001</v>
      </c>
      <c r="K136" s="24" t="s">
        <v>475</v>
      </c>
      <c r="L136" s="25">
        <f t="shared" si="12"/>
        <v>10.280000000000001</v>
      </c>
    </row>
    <row r="137" spans="1:12">
      <c r="A137" s="27">
        <v>39</v>
      </c>
      <c r="B137" s="45">
        <v>200942657</v>
      </c>
      <c r="C137" s="56" t="s">
        <v>154</v>
      </c>
      <c r="D137" s="24">
        <v>2.37</v>
      </c>
      <c r="E137" s="24">
        <v>1.85</v>
      </c>
      <c r="F137" s="24">
        <v>1.2</v>
      </c>
      <c r="G137" s="24">
        <v>0</v>
      </c>
      <c r="H137" s="24">
        <v>0</v>
      </c>
      <c r="I137" s="83">
        <v>5.7</v>
      </c>
      <c r="J137" s="24">
        <f t="shared" si="7"/>
        <v>11.120000000000001</v>
      </c>
      <c r="K137" s="24" t="s">
        <v>475</v>
      </c>
      <c r="L137" s="25">
        <f t="shared" si="12"/>
        <v>11.120000000000001</v>
      </c>
    </row>
    <row r="138" spans="1:12">
      <c r="A138" s="27">
        <v>40</v>
      </c>
      <c r="B138" s="45">
        <v>200942659</v>
      </c>
      <c r="C138" s="56" t="s">
        <v>155</v>
      </c>
      <c r="D138" s="24">
        <v>3.27</v>
      </c>
      <c r="E138" s="24">
        <v>4.25</v>
      </c>
      <c r="F138" s="24">
        <v>3.7</v>
      </c>
      <c r="G138" s="24">
        <v>6.3</v>
      </c>
      <c r="H138" s="24">
        <v>3.3</v>
      </c>
      <c r="I138" s="83">
        <v>12.65</v>
      </c>
      <c r="J138" s="24">
        <f t="shared" si="7"/>
        <v>33.47</v>
      </c>
      <c r="K138" s="24" t="s">
        <v>475</v>
      </c>
      <c r="L138" s="25">
        <f t="shared" si="12"/>
        <v>33.47</v>
      </c>
    </row>
    <row r="139" spans="1:12">
      <c r="A139" s="27">
        <v>41</v>
      </c>
      <c r="B139" s="45">
        <v>200942662</v>
      </c>
      <c r="C139" s="56" t="s">
        <v>156</v>
      </c>
      <c r="D139" s="24">
        <v>3.93</v>
      </c>
      <c r="E139" s="24">
        <v>3.3</v>
      </c>
      <c r="F139" s="24">
        <v>1</v>
      </c>
      <c r="G139" s="24">
        <v>0.53</v>
      </c>
      <c r="H139" s="24">
        <v>0</v>
      </c>
      <c r="I139" s="83">
        <v>7.14</v>
      </c>
      <c r="J139" s="24">
        <f>+I139+H139+G139+F139+E139+D139</f>
        <v>15.899999999999999</v>
      </c>
      <c r="K139" s="24" t="s">
        <v>475</v>
      </c>
      <c r="L139" s="25">
        <f t="shared" si="12"/>
        <v>15.899999999999999</v>
      </c>
    </row>
    <row r="140" spans="1:12">
      <c r="A140" s="27">
        <v>42</v>
      </c>
      <c r="B140" s="45">
        <v>200942689</v>
      </c>
      <c r="C140" s="56" t="s">
        <v>157</v>
      </c>
      <c r="D140" s="24">
        <v>7.52</v>
      </c>
      <c r="E140" s="24">
        <v>6.05</v>
      </c>
      <c r="F140" s="24">
        <v>7.32</v>
      </c>
      <c r="G140" s="24">
        <v>3.8</v>
      </c>
      <c r="H140" s="24">
        <v>6.48</v>
      </c>
      <c r="I140" s="83">
        <v>18.45</v>
      </c>
      <c r="J140" s="24">
        <f>+I140+H140+G140+F140+D140+E140</f>
        <v>49.61999999999999</v>
      </c>
      <c r="K140" s="24">
        <v>16</v>
      </c>
      <c r="L140" s="25">
        <f>+K140+J140</f>
        <v>65.61999999999999</v>
      </c>
    </row>
    <row r="141" spans="1:12">
      <c r="A141" s="27">
        <v>43</v>
      </c>
      <c r="B141" s="45">
        <v>200942711</v>
      </c>
      <c r="C141" s="56" t="s">
        <v>158</v>
      </c>
      <c r="D141" s="24">
        <v>2.0299999999999998</v>
      </c>
      <c r="E141" s="24">
        <v>2</v>
      </c>
      <c r="F141" s="24">
        <v>0.6</v>
      </c>
      <c r="G141" s="24">
        <v>4.5999999999999996</v>
      </c>
      <c r="H141" s="24">
        <v>0</v>
      </c>
      <c r="I141" s="83">
        <v>8.4600000000000009</v>
      </c>
      <c r="J141" s="24">
        <f t="shared" ref="J141:J150" si="13">+I141+H141+G141+F141+E141+D141</f>
        <v>17.690000000000001</v>
      </c>
      <c r="K141" s="24" t="s">
        <v>475</v>
      </c>
      <c r="L141" s="25">
        <f t="shared" si="12"/>
        <v>17.690000000000001</v>
      </c>
    </row>
    <row r="142" spans="1:12">
      <c r="A142" s="27">
        <v>44</v>
      </c>
      <c r="B142" s="45">
        <v>200942840</v>
      </c>
      <c r="C142" s="56" t="s">
        <v>159</v>
      </c>
      <c r="D142" s="24">
        <v>3.47</v>
      </c>
      <c r="E142" s="24">
        <v>5.7</v>
      </c>
      <c r="F142" s="24">
        <v>5.0999999999999996</v>
      </c>
      <c r="G142" s="24">
        <v>9.1999999999999993</v>
      </c>
      <c r="H142" s="24">
        <v>3.4</v>
      </c>
      <c r="I142" s="83">
        <v>15.06</v>
      </c>
      <c r="J142" s="24">
        <f t="shared" si="13"/>
        <v>41.93</v>
      </c>
      <c r="K142" s="24">
        <v>8.1999999999999993</v>
      </c>
      <c r="L142" s="25">
        <f>+K142+J142</f>
        <v>50.129999999999995</v>
      </c>
    </row>
    <row r="143" spans="1:12">
      <c r="A143" s="27">
        <v>45</v>
      </c>
      <c r="B143" s="45">
        <v>200943360</v>
      </c>
      <c r="C143" s="56" t="s">
        <v>160</v>
      </c>
      <c r="D143" s="24">
        <v>1</v>
      </c>
      <c r="E143" s="24">
        <v>0</v>
      </c>
      <c r="F143" s="24">
        <v>0</v>
      </c>
      <c r="G143" s="24">
        <v>0</v>
      </c>
      <c r="H143" s="24">
        <v>0</v>
      </c>
      <c r="I143" s="83">
        <v>2.83</v>
      </c>
      <c r="J143" s="24">
        <f t="shared" si="13"/>
        <v>3.83</v>
      </c>
      <c r="K143" s="24" t="s">
        <v>475</v>
      </c>
      <c r="L143" s="25">
        <f t="shared" si="12"/>
        <v>3.83</v>
      </c>
    </row>
    <row r="144" spans="1:12">
      <c r="A144" s="27">
        <v>46</v>
      </c>
      <c r="B144" s="45">
        <v>200944091</v>
      </c>
      <c r="C144" s="59" t="s">
        <v>161</v>
      </c>
      <c r="D144" s="24">
        <v>3.25</v>
      </c>
      <c r="E144" s="24">
        <v>5.95</v>
      </c>
      <c r="F144" s="24">
        <v>5.6</v>
      </c>
      <c r="G144" s="24">
        <v>10.27</v>
      </c>
      <c r="H144" s="24">
        <v>5.83</v>
      </c>
      <c r="I144" s="83">
        <v>15.16</v>
      </c>
      <c r="J144" s="24">
        <f t="shared" si="13"/>
        <v>46.06</v>
      </c>
      <c r="K144" s="24">
        <v>10.7</v>
      </c>
      <c r="L144" s="25">
        <f>+K144+J144</f>
        <v>56.760000000000005</v>
      </c>
    </row>
    <row r="145" spans="1:12">
      <c r="A145" s="27">
        <v>47</v>
      </c>
      <c r="B145" s="45">
        <v>200944093</v>
      </c>
      <c r="C145" s="59" t="s">
        <v>162</v>
      </c>
      <c r="D145" s="24">
        <v>3.4</v>
      </c>
      <c r="E145" s="24">
        <v>6.42</v>
      </c>
      <c r="F145" s="24">
        <v>7.1</v>
      </c>
      <c r="G145" s="24">
        <v>10.35</v>
      </c>
      <c r="H145" s="24">
        <v>3.68</v>
      </c>
      <c r="I145" s="83">
        <v>13.75</v>
      </c>
      <c r="J145" s="24">
        <f t="shared" si="13"/>
        <v>44.7</v>
      </c>
      <c r="K145" s="24">
        <v>7.6</v>
      </c>
      <c r="L145" s="25">
        <f>+K145+J145</f>
        <v>52.300000000000004</v>
      </c>
    </row>
    <row r="146" spans="1:12">
      <c r="A146" s="27">
        <v>48</v>
      </c>
      <c r="B146" s="45">
        <v>200944809</v>
      </c>
      <c r="C146" s="56" t="s">
        <v>163</v>
      </c>
      <c r="D146" s="24">
        <v>2.23</v>
      </c>
      <c r="E146" s="24">
        <v>4.7</v>
      </c>
      <c r="F146" s="24">
        <v>0</v>
      </c>
      <c r="G146" s="24">
        <v>0</v>
      </c>
      <c r="H146" s="24">
        <v>0</v>
      </c>
      <c r="I146" s="83">
        <v>6.48</v>
      </c>
      <c r="J146" s="24">
        <f t="shared" si="13"/>
        <v>13.41</v>
      </c>
      <c r="K146" s="24" t="s">
        <v>475</v>
      </c>
      <c r="L146" s="25">
        <f t="shared" si="12"/>
        <v>13.41</v>
      </c>
    </row>
    <row r="147" spans="1:12">
      <c r="A147" s="27">
        <v>49</v>
      </c>
      <c r="B147" s="45">
        <v>200944811</v>
      </c>
      <c r="C147" s="59" t="s">
        <v>164</v>
      </c>
      <c r="D147" s="24">
        <v>1.83</v>
      </c>
      <c r="E147" s="24">
        <v>3.25</v>
      </c>
      <c r="F147" s="24">
        <v>2.1</v>
      </c>
      <c r="G147" s="24">
        <v>1.8</v>
      </c>
      <c r="H147" s="24">
        <v>0.9</v>
      </c>
      <c r="I147" s="83">
        <v>10.67</v>
      </c>
      <c r="J147" s="24">
        <f t="shared" si="13"/>
        <v>20.549999999999997</v>
      </c>
      <c r="K147" s="24" t="s">
        <v>475</v>
      </c>
      <c r="L147" s="25">
        <f t="shared" si="12"/>
        <v>20.549999999999997</v>
      </c>
    </row>
    <row r="148" spans="1:12">
      <c r="A148" s="27">
        <v>50</v>
      </c>
      <c r="B148" s="45">
        <v>200945123</v>
      </c>
      <c r="C148" s="59" t="s">
        <v>165</v>
      </c>
      <c r="D148" s="24">
        <v>2.6</v>
      </c>
      <c r="E148" s="24">
        <v>5.05</v>
      </c>
      <c r="F148" s="24">
        <v>0.95</v>
      </c>
      <c r="G148" s="24">
        <v>0</v>
      </c>
      <c r="H148" s="24">
        <v>0</v>
      </c>
      <c r="I148" s="83">
        <v>6.02</v>
      </c>
      <c r="J148" s="24">
        <f t="shared" si="13"/>
        <v>14.62</v>
      </c>
      <c r="K148" s="24" t="s">
        <v>475</v>
      </c>
      <c r="L148" s="25">
        <f t="shared" si="12"/>
        <v>14.62</v>
      </c>
    </row>
    <row r="149" spans="1:12">
      <c r="A149" s="27">
        <v>51</v>
      </c>
      <c r="B149" s="45">
        <v>200945126</v>
      </c>
      <c r="C149" s="59" t="s">
        <v>166</v>
      </c>
      <c r="D149" s="24">
        <v>1.2</v>
      </c>
      <c r="E149" s="24">
        <v>1.95</v>
      </c>
      <c r="F149" s="24">
        <v>0.4</v>
      </c>
      <c r="G149" s="24">
        <v>0</v>
      </c>
      <c r="H149" s="24">
        <v>0</v>
      </c>
      <c r="I149" s="83">
        <v>8.09</v>
      </c>
      <c r="J149" s="24">
        <f t="shared" si="13"/>
        <v>11.639999999999999</v>
      </c>
      <c r="K149" s="24" t="s">
        <v>475</v>
      </c>
      <c r="L149" s="25">
        <f t="shared" si="12"/>
        <v>11.639999999999999</v>
      </c>
    </row>
    <row r="150" spans="1:12">
      <c r="A150" s="27">
        <v>52</v>
      </c>
      <c r="B150" s="57">
        <v>200980007</v>
      </c>
      <c r="C150" s="58" t="s">
        <v>167</v>
      </c>
      <c r="D150" s="24">
        <v>2.37</v>
      </c>
      <c r="E150" s="24">
        <v>4.75</v>
      </c>
      <c r="F150" s="24">
        <v>0</v>
      </c>
      <c r="G150" s="24">
        <v>0</v>
      </c>
      <c r="H150" s="24">
        <v>0</v>
      </c>
      <c r="I150" s="83">
        <v>7.44</v>
      </c>
      <c r="J150" s="24">
        <f t="shared" si="13"/>
        <v>14.560000000000002</v>
      </c>
      <c r="K150" s="24" t="s">
        <v>475</v>
      </c>
      <c r="L150" s="25">
        <f t="shared" si="12"/>
        <v>14.560000000000002</v>
      </c>
    </row>
    <row r="151" spans="1:12">
      <c r="A151" s="29"/>
      <c r="B151" s="29"/>
      <c r="C151" s="30"/>
      <c r="D151" s="31"/>
      <c r="E151" s="31"/>
      <c r="F151" s="31"/>
      <c r="G151" s="31"/>
      <c r="H151" s="31"/>
      <c r="I151" s="31"/>
      <c r="J151" s="31"/>
    </row>
    <row r="152" spans="1:12">
      <c r="A152" s="29"/>
      <c r="B152" s="29"/>
      <c r="C152" s="30"/>
      <c r="D152" s="31"/>
      <c r="E152" s="31"/>
      <c r="F152" s="31"/>
      <c r="G152" s="31"/>
      <c r="H152" s="31"/>
      <c r="I152" s="31"/>
      <c r="J152" s="31"/>
    </row>
    <row r="153" spans="1:12" ht="17.25" thickBot="1">
      <c r="A153" s="33"/>
      <c r="B153" s="33"/>
      <c r="C153" s="34"/>
      <c r="D153" s="31"/>
      <c r="E153" s="31"/>
      <c r="F153" s="31"/>
      <c r="G153" s="31"/>
      <c r="H153" s="35"/>
      <c r="I153" s="35"/>
      <c r="J153" s="35"/>
    </row>
    <row r="154" spans="1:12">
      <c r="H154" s="100" t="s">
        <v>434</v>
      </c>
      <c r="I154" s="100"/>
      <c r="J154" s="100"/>
    </row>
    <row r="155" spans="1:12">
      <c r="D155" s="36"/>
      <c r="H155" s="100" t="s">
        <v>430</v>
      </c>
      <c r="I155" s="100"/>
      <c r="J155" s="100"/>
    </row>
    <row r="156" spans="1:12">
      <c r="D156" s="36"/>
      <c r="H156" s="100" t="s">
        <v>431</v>
      </c>
      <c r="I156" s="100"/>
      <c r="J156" s="100"/>
    </row>
    <row r="173" spans="1:9" ht="17.25" thickBot="1">
      <c r="A173" s="1" t="s">
        <v>0</v>
      </c>
      <c r="I173" s="3"/>
    </row>
    <row r="174" spans="1:9">
      <c r="A174" s="1" t="s">
        <v>1</v>
      </c>
      <c r="F174" s="4"/>
      <c r="G174" s="5"/>
      <c r="H174" s="6"/>
      <c r="I174" s="7"/>
    </row>
    <row r="175" spans="1:9">
      <c r="A175" s="8" t="s">
        <v>2</v>
      </c>
      <c r="B175" s="9"/>
      <c r="E175" s="7"/>
      <c r="F175" s="10"/>
      <c r="G175" s="11"/>
      <c r="H175" s="12"/>
      <c r="I175" s="7"/>
    </row>
    <row r="176" spans="1:9" ht="17.25" thickBot="1">
      <c r="A176" s="13" t="s">
        <v>3</v>
      </c>
      <c r="B176" s="9"/>
      <c r="E176" s="7"/>
      <c r="F176" s="10"/>
      <c r="G176" s="11"/>
      <c r="H176" s="12"/>
      <c r="I176" s="7"/>
    </row>
    <row r="177" spans="1:12" ht="17.25" thickBot="1">
      <c r="A177" s="14" t="s">
        <v>22</v>
      </c>
      <c r="B177" s="15"/>
      <c r="C177" s="16"/>
      <c r="E177" s="7"/>
      <c r="F177" s="17"/>
      <c r="G177" s="18"/>
      <c r="H177" s="19"/>
      <c r="I177" s="7"/>
    </row>
    <row r="178" spans="1:12">
      <c r="A178" s="8"/>
      <c r="B178" s="9"/>
      <c r="E178" s="7"/>
      <c r="I178" s="3"/>
    </row>
    <row r="179" spans="1:12">
      <c r="A179" s="1" t="s">
        <v>91</v>
      </c>
      <c r="B179" s="9"/>
      <c r="C179" s="20" t="s">
        <v>168</v>
      </c>
      <c r="E179" s="7"/>
      <c r="I179" s="3"/>
    </row>
    <row r="180" spans="1:12">
      <c r="A180" s="1" t="s">
        <v>4</v>
      </c>
      <c r="C180" s="20" t="s">
        <v>426</v>
      </c>
      <c r="I180" s="3"/>
    </row>
    <row r="181" spans="1:12">
      <c r="A181" s="1" t="s">
        <v>5</v>
      </c>
      <c r="C181" s="20" t="s">
        <v>433</v>
      </c>
    </row>
    <row r="182" spans="1:12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2">
      <c r="A183" s="1"/>
      <c r="C183" s="22" t="s">
        <v>6</v>
      </c>
      <c r="D183" s="22" t="s">
        <v>435</v>
      </c>
      <c r="E183" s="22" t="s">
        <v>435</v>
      </c>
      <c r="F183" s="22" t="s">
        <v>435</v>
      </c>
      <c r="G183" s="22" t="s">
        <v>435</v>
      </c>
      <c r="H183" s="22" t="s">
        <v>435</v>
      </c>
      <c r="I183" s="22" t="s">
        <v>7</v>
      </c>
      <c r="J183" s="22" t="s">
        <v>8</v>
      </c>
      <c r="K183" s="22" t="s">
        <v>7</v>
      </c>
      <c r="L183" s="22" t="s">
        <v>9</v>
      </c>
    </row>
    <row r="184" spans="1:12">
      <c r="A184" s="22" t="s">
        <v>10</v>
      </c>
      <c r="B184" s="22" t="s">
        <v>11</v>
      </c>
      <c r="C184" s="22" t="s">
        <v>12</v>
      </c>
      <c r="D184" s="22" t="s">
        <v>13</v>
      </c>
      <c r="E184" s="22" t="s">
        <v>14</v>
      </c>
      <c r="F184" s="22" t="s">
        <v>15</v>
      </c>
      <c r="G184" s="22" t="s">
        <v>16</v>
      </c>
      <c r="H184" s="22" t="s">
        <v>17</v>
      </c>
      <c r="I184" s="22" t="s">
        <v>95</v>
      </c>
      <c r="J184" s="22" t="s">
        <v>18</v>
      </c>
      <c r="K184" s="22" t="s">
        <v>19</v>
      </c>
      <c r="L184" s="22" t="s">
        <v>20</v>
      </c>
    </row>
    <row r="185" spans="1:12">
      <c r="A185" s="23">
        <v>1</v>
      </c>
      <c r="B185" s="45">
        <v>200742804</v>
      </c>
      <c r="C185" s="56" t="s">
        <v>170</v>
      </c>
      <c r="D185" s="24">
        <v>1.83</v>
      </c>
      <c r="E185" s="24">
        <v>3.85</v>
      </c>
      <c r="F185" s="24">
        <v>2.6</v>
      </c>
      <c r="G185" s="24">
        <v>0.27</v>
      </c>
      <c r="H185" s="24">
        <v>2.1</v>
      </c>
      <c r="I185" s="83">
        <v>2</v>
      </c>
      <c r="J185" s="24">
        <f>+I185+H185+G185+F185+E185+D185</f>
        <v>12.649999999999999</v>
      </c>
      <c r="K185" s="24" t="s">
        <v>475</v>
      </c>
      <c r="L185" s="25">
        <f>+J185</f>
        <v>12.649999999999999</v>
      </c>
    </row>
    <row r="186" spans="1:12">
      <c r="A186" s="26">
        <v>2</v>
      </c>
      <c r="B186" s="45">
        <v>200780031</v>
      </c>
      <c r="C186" s="59" t="s">
        <v>171</v>
      </c>
      <c r="D186" s="24">
        <v>3.52</v>
      </c>
      <c r="E186" s="24">
        <v>6.82</v>
      </c>
      <c r="F186" s="24">
        <v>3.43</v>
      </c>
      <c r="G186" s="24">
        <v>5.55</v>
      </c>
      <c r="H186" s="24">
        <v>2.5</v>
      </c>
      <c r="I186" s="83">
        <v>7.78</v>
      </c>
      <c r="J186" s="24">
        <f>+I186+H186+G186+F186+E186+D186</f>
        <v>29.6</v>
      </c>
      <c r="K186" s="24" t="s">
        <v>475</v>
      </c>
      <c r="L186" s="25">
        <f t="shared" ref="L186:L187" si="14">+J186</f>
        <v>29.6</v>
      </c>
    </row>
    <row r="187" spans="1:12">
      <c r="A187" s="27">
        <v>3</v>
      </c>
      <c r="B187" s="57">
        <v>200840189</v>
      </c>
      <c r="C187" s="60" t="s">
        <v>173</v>
      </c>
      <c r="D187" s="24">
        <v>3.25</v>
      </c>
      <c r="E187" s="24">
        <v>3</v>
      </c>
      <c r="F187" s="24">
        <v>1.67</v>
      </c>
      <c r="G187" s="24">
        <v>2.93</v>
      </c>
      <c r="H187" s="24">
        <v>0</v>
      </c>
      <c r="I187" s="83">
        <v>2.2599999999999998</v>
      </c>
      <c r="J187" s="24">
        <f t="shared" ref="J187:J225" si="15">+I187+H187+G187+F187+E187+D187</f>
        <v>13.11</v>
      </c>
      <c r="K187" s="24" t="s">
        <v>475</v>
      </c>
      <c r="L187" s="25">
        <f t="shared" si="14"/>
        <v>13.11</v>
      </c>
    </row>
    <row r="188" spans="1:12">
      <c r="A188" s="26">
        <v>4</v>
      </c>
      <c r="B188" s="57">
        <v>200840193</v>
      </c>
      <c r="C188" s="56" t="s">
        <v>175</v>
      </c>
      <c r="D188" s="24">
        <v>2.87</v>
      </c>
      <c r="E188" s="24">
        <v>6.5</v>
      </c>
      <c r="F188" s="24">
        <v>7.32</v>
      </c>
      <c r="G188" s="24">
        <v>7.63</v>
      </c>
      <c r="H188" s="24">
        <v>7.72</v>
      </c>
      <c r="I188" s="83">
        <v>19.59</v>
      </c>
      <c r="J188" s="24">
        <f t="shared" si="15"/>
        <v>51.629999999999995</v>
      </c>
      <c r="K188" s="24">
        <v>13.15</v>
      </c>
      <c r="L188" s="25">
        <f t="shared" ref="L188:L218" si="16">+K188+J188</f>
        <v>64.78</v>
      </c>
    </row>
    <row r="189" spans="1:12">
      <c r="A189" s="26">
        <v>5</v>
      </c>
      <c r="B189" s="45">
        <v>200840202</v>
      </c>
      <c r="C189" s="59" t="s">
        <v>176</v>
      </c>
      <c r="D189" s="24">
        <v>5.37</v>
      </c>
      <c r="E189" s="24">
        <v>8.9</v>
      </c>
      <c r="F189" s="24">
        <v>6.93</v>
      </c>
      <c r="G189" s="24">
        <v>6.2</v>
      </c>
      <c r="H189" s="24">
        <v>3.25</v>
      </c>
      <c r="I189" s="83">
        <v>2</v>
      </c>
      <c r="J189" s="24">
        <f t="shared" si="15"/>
        <v>32.65</v>
      </c>
      <c r="K189" s="24" t="s">
        <v>475</v>
      </c>
      <c r="L189" s="25">
        <f>+J189</f>
        <v>32.65</v>
      </c>
    </row>
    <row r="190" spans="1:12">
      <c r="A190" s="26">
        <v>6</v>
      </c>
      <c r="B190" s="64">
        <v>200842064</v>
      </c>
      <c r="C190" s="67" t="s">
        <v>179</v>
      </c>
      <c r="D190" s="24">
        <v>2.2000000000000002</v>
      </c>
      <c r="E190" s="24">
        <v>1.1000000000000001</v>
      </c>
      <c r="F190" s="24">
        <v>0</v>
      </c>
      <c r="G190" s="24">
        <v>0</v>
      </c>
      <c r="H190" s="24">
        <v>0</v>
      </c>
      <c r="I190" s="83">
        <v>0.38</v>
      </c>
      <c r="J190" s="24">
        <f t="shared" si="15"/>
        <v>3.68</v>
      </c>
      <c r="K190" s="24" t="s">
        <v>475</v>
      </c>
      <c r="L190" s="25">
        <f t="shared" ref="L190:L191" si="17">+J190</f>
        <v>3.68</v>
      </c>
    </row>
    <row r="191" spans="1:12">
      <c r="A191" s="26">
        <v>7</v>
      </c>
      <c r="B191" s="45">
        <v>200842096</v>
      </c>
      <c r="C191" s="56" t="s">
        <v>180</v>
      </c>
      <c r="D191" s="24">
        <v>2.67</v>
      </c>
      <c r="E191" s="24">
        <v>3.25</v>
      </c>
      <c r="F191" s="24">
        <v>3.71</v>
      </c>
      <c r="G191" s="24">
        <v>3.65</v>
      </c>
      <c r="H191" s="24">
        <v>4.38</v>
      </c>
      <c r="I191" s="83">
        <v>15.33</v>
      </c>
      <c r="J191" s="24">
        <f t="shared" si="15"/>
        <v>32.99</v>
      </c>
      <c r="K191" s="24" t="s">
        <v>475</v>
      </c>
      <c r="L191" s="25">
        <f t="shared" si="17"/>
        <v>32.99</v>
      </c>
    </row>
    <row r="192" spans="1:12">
      <c r="A192" s="26">
        <v>8</v>
      </c>
      <c r="B192" s="45">
        <v>200842099</v>
      </c>
      <c r="C192" s="56" t="s">
        <v>181</v>
      </c>
      <c r="D192" s="24">
        <v>9.27</v>
      </c>
      <c r="E192" s="24">
        <v>10.15</v>
      </c>
      <c r="F192" s="24">
        <v>7.47</v>
      </c>
      <c r="G192" s="24">
        <v>6.03</v>
      </c>
      <c r="H192" s="24">
        <v>7.74</v>
      </c>
      <c r="I192" s="83">
        <v>16.239999999999998</v>
      </c>
      <c r="J192" s="24">
        <f t="shared" si="15"/>
        <v>56.899999999999991</v>
      </c>
      <c r="K192" s="24">
        <v>13.7</v>
      </c>
      <c r="L192" s="25">
        <f t="shared" si="16"/>
        <v>70.599999999999994</v>
      </c>
    </row>
    <row r="193" spans="1:12">
      <c r="A193" s="26">
        <v>9</v>
      </c>
      <c r="B193" s="45">
        <v>200842121</v>
      </c>
      <c r="C193" s="59" t="s">
        <v>183</v>
      </c>
      <c r="D193" s="24">
        <v>7.56</v>
      </c>
      <c r="E193" s="24">
        <v>8.57</v>
      </c>
      <c r="F193" s="24">
        <v>3.1</v>
      </c>
      <c r="G193" s="24">
        <v>0</v>
      </c>
      <c r="H193" s="24">
        <v>0</v>
      </c>
      <c r="I193" s="83">
        <v>6.49</v>
      </c>
      <c r="J193" s="24">
        <f t="shared" si="15"/>
        <v>25.72</v>
      </c>
      <c r="K193" s="24" t="s">
        <v>475</v>
      </c>
      <c r="L193" s="25">
        <f>+J193</f>
        <v>25.72</v>
      </c>
    </row>
    <row r="194" spans="1:12">
      <c r="A194" s="26">
        <v>10</v>
      </c>
      <c r="B194" s="45">
        <v>200842378</v>
      </c>
      <c r="C194" s="56" t="s">
        <v>184</v>
      </c>
      <c r="D194" s="24">
        <v>2.97</v>
      </c>
      <c r="E194" s="24">
        <v>4.0999999999999996</v>
      </c>
      <c r="F194" s="24">
        <v>2.6</v>
      </c>
      <c r="G194" s="24">
        <v>1.85</v>
      </c>
      <c r="H194" s="24">
        <v>0.4</v>
      </c>
      <c r="I194" s="83">
        <v>8.43</v>
      </c>
      <c r="J194" s="24">
        <f t="shared" si="15"/>
        <v>20.349999999999998</v>
      </c>
      <c r="K194" s="24" t="s">
        <v>475</v>
      </c>
      <c r="L194" s="25">
        <f>+J194</f>
        <v>20.349999999999998</v>
      </c>
    </row>
    <row r="195" spans="1:12">
      <c r="A195" s="26">
        <v>11</v>
      </c>
      <c r="B195" s="45">
        <v>200842411</v>
      </c>
      <c r="C195" s="56" t="s">
        <v>185</v>
      </c>
      <c r="D195" s="24">
        <v>4.03</v>
      </c>
      <c r="E195" s="24">
        <v>9.9499999999999993</v>
      </c>
      <c r="F195" s="24">
        <v>8</v>
      </c>
      <c r="G195" s="24">
        <v>6.13</v>
      </c>
      <c r="H195" s="28">
        <v>7.21</v>
      </c>
      <c r="I195" s="83">
        <v>16.55</v>
      </c>
      <c r="J195" s="24">
        <f t="shared" si="15"/>
        <v>51.870000000000005</v>
      </c>
      <c r="K195" s="24">
        <v>15.4</v>
      </c>
      <c r="L195" s="25">
        <f t="shared" si="16"/>
        <v>67.27000000000001</v>
      </c>
    </row>
    <row r="196" spans="1:12">
      <c r="A196" s="26">
        <v>12</v>
      </c>
      <c r="B196" s="57">
        <v>200843337</v>
      </c>
      <c r="C196" s="56" t="s">
        <v>188</v>
      </c>
      <c r="D196" s="24">
        <v>3.27</v>
      </c>
      <c r="E196" s="24">
        <v>4</v>
      </c>
      <c r="F196" s="24">
        <v>0</v>
      </c>
      <c r="G196" s="24">
        <v>0</v>
      </c>
      <c r="H196" s="28">
        <v>0</v>
      </c>
      <c r="I196" s="83">
        <v>2.89</v>
      </c>
      <c r="J196" s="24">
        <f t="shared" si="15"/>
        <v>10.16</v>
      </c>
      <c r="K196" s="24" t="s">
        <v>475</v>
      </c>
      <c r="L196" s="25">
        <f>+J196</f>
        <v>10.16</v>
      </c>
    </row>
    <row r="197" spans="1:12">
      <c r="A197" s="26">
        <v>13</v>
      </c>
      <c r="B197" s="45">
        <v>200843789</v>
      </c>
      <c r="C197" s="56" t="s">
        <v>189</v>
      </c>
      <c r="D197" s="24">
        <v>1.47</v>
      </c>
      <c r="E197" s="24">
        <v>7.65</v>
      </c>
      <c r="F197" s="24">
        <v>6.8</v>
      </c>
      <c r="G197" s="24">
        <v>2.2200000000000002</v>
      </c>
      <c r="H197" s="28">
        <v>3.75</v>
      </c>
      <c r="I197" s="83">
        <v>5.44</v>
      </c>
      <c r="J197" s="24">
        <f t="shared" si="15"/>
        <v>27.33</v>
      </c>
      <c r="K197" s="24" t="s">
        <v>475</v>
      </c>
      <c r="L197" s="25">
        <f>+J197</f>
        <v>27.33</v>
      </c>
    </row>
    <row r="198" spans="1:12">
      <c r="A198" s="23">
        <v>14</v>
      </c>
      <c r="B198" s="64">
        <v>200880002</v>
      </c>
      <c r="C198" s="67" t="s">
        <v>190</v>
      </c>
      <c r="D198" s="24">
        <v>5.33</v>
      </c>
      <c r="E198" s="24">
        <v>5.87</v>
      </c>
      <c r="F198" s="24">
        <v>5.9</v>
      </c>
      <c r="G198" s="24">
        <v>5.95</v>
      </c>
      <c r="H198" s="28">
        <v>4.08</v>
      </c>
      <c r="I198" s="83">
        <v>19.600000000000001</v>
      </c>
      <c r="J198" s="24">
        <f t="shared" si="15"/>
        <v>46.73</v>
      </c>
      <c r="K198" s="24">
        <v>10.3</v>
      </c>
      <c r="L198" s="25">
        <f t="shared" si="16"/>
        <v>57.03</v>
      </c>
    </row>
    <row r="199" spans="1:12">
      <c r="A199" s="23">
        <v>15</v>
      </c>
      <c r="B199" s="45">
        <v>200940337</v>
      </c>
      <c r="C199" s="56" t="s">
        <v>191</v>
      </c>
      <c r="D199" s="24">
        <v>1.8</v>
      </c>
      <c r="E199" s="24">
        <v>8.32</v>
      </c>
      <c r="F199" s="24">
        <v>4.3</v>
      </c>
      <c r="G199" s="24">
        <v>5.97</v>
      </c>
      <c r="H199" s="24">
        <v>5.81</v>
      </c>
      <c r="I199" s="83">
        <v>16.649999999999999</v>
      </c>
      <c r="J199" s="24">
        <f t="shared" si="15"/>
        <v>42.849999999999994</v>
      </c>
      <c r="K199" s="24">
        <v>5.6</v>
      </c>
      <c r="L199" s="25">
        <f>+K199+J199</f>
        <v>48.449999999999996</v>
      </c>
    </row>
    <row r="200" spans="1:12">
      <c r="A200" s="23">
        <v>16</v>
      </c>
      <c r="B200" s="57">
        <v>200940341</v>
      </c>
      <c r="C200" s="60" t="s">
        <v>192</v>
      </c>
      <c r="D200" s="24">
        <v>9.58</v>
      </c>
      <c r="E200" s="24">
        <v>8.15</v>
      </c>
      <c r="F200" s="24">
        <v>7.35</v>
      </c>
      <c r="G200" s="24">
        <v>7.2</v>
      </c>
      <c r="H200" s="24">
        <v>8.17</v>
      </c>
      <c r="I200" s="83">
        <v>18.850000000000001</v>
      </c>
      <c r="J200" s="24">
        <f t="shared" si="15"/>
        <v>59.300000000000004</v>
      </c>
      <c r="K200" s="24">
        <v>16.25</v>
      </c>
      <c r="L200" s="25">
        <f t="shared" si="16"/>
        <v>75.550000000000011</v>
      </c>
    </row>
    <row r="201" spans="1:12">
      <c r="A201" s="23">
        <v>17</v>
      </c>
      <c r="B201" s="45">
        <v>200940351</v>
      </c>
      <c r="C201" s="56" t="s">
        <v>193</v>
      </c>
      <c r="D201" s="24">
        <v>8.57</v>
      </c>
      <c r="E201" s="24">
        <v>3.45</v>
      </c>
      <c r="F201" s="24">
        <v>4.6500000000000004</v>
      </c>
      <c r="G201" s="24">
        <v>2</v>
      </c>
      <c r="H201" s="24">
        <v>0</v>
      </c>
      <c r="I201" s="83">
        <v>4.54</v>
      </c>
      <c r="J201" s="24">
        <f t="shared" si="15"/>
        <v>23.21</v>
      </c>
      <c r="K201" s="24" t="s">
        <v>475</v>
      </c>
      <c r="L201" s="25">
        <f>+J201</f>
        <v>23.21</v>
      </c>
    </row>
    <row r="202" spans="1:12">
      <c r="A202" s="27">
        <v>18</v>
      </c>
      <c r="B202" s="45">
        <v>200940362</v>
      </c>
      <c r="C202" s="58" t="s">
        <v>194</v>
      </c>
      <c r="D202" s="24">
        <v>1</v>
      </c>
      <c r="E202" s="24">
        <v>0</v>
      </c>
      <c r="F202" s="24">
        <v>0</v>
      </c>
      <c r="G202" s="24">
        <v>2.63</v>
      </c>
      <c r="H202" s="24">
        <v>0</v>
      </c>
      <c r="I202" s="83">
        <v>9.7899999999999991</v>
      </c>
      <c r="J202" s="24">
        <f t="shared" si="15"/>
        <v>13.419999999999998</v>
      </c>
      <c r="K202" s="24" t="s">
        <v>475</v>
      </c>
      <c r="L202" s="25">
        <f t="shared" ref="L202:L208" si="18">+J202</f>
        <v>13.419999999999998</v>
      </c>
    </row>
    <row r="203" spans="1:12">
      <c r="A203" s="27">
        <v>19</v>
      </c>
      <c r="B203" s="45">
        <v>200940369</v>
      </c>
      <c r="C203" s="56" t="s">
        <v>195</v>
      </c>
      <c r="D203" s="24">
        <v>7.52</v>
      </c>
      <c r="E203" s="24">
        <v>4.9000000000000004</v>
      </c>
      <c r="F203" s="24">
        <v>0</v>
      </c>
      <c r="G203" s="24">
        <v>0</v>
      </c>
      <c r="H203" s="24">
        <v>0</v>
      </c>
      <c r="I203" s="83">
        <v>5.25</v>
      </c>
      <c r="J203" s="24">
        <f t="shared" si="15"/>
        <v>17.670000000000002</v>
      </c>
      <c r="K203" s="24" t="s">
        <v>475</v>
      </c>
      <c r="L203" s="25">
        <f t="shared" si="18"/>
        <v>17.670000000000002</v>
      </c>
    </row>
    <row r="204" spans="1:12">
      <c r="A204" s="27">
        <v>20</v>
      </c>
      <c r="B204" s="45">
        <v>200940429</v>
      </c>
      <c r="C204" s="56" t="s">
        <v>196</v>
      </c>
      <c r="D204" s="24">
        <v>1.43</v>
      </c>
      <c r="E204" s="24">
        <v>1.55</v>
      </c>
      <c r="F204" s="24">
        <v>3.6</v>
      </c>
      <c r="G204" s="24">
        <v>0</v>
      </c>
      <c r="H204" s="24">
        <v>0</v>
      </c>
      <c r="I204" s="83">
        <v>9.41</v>
      </c>
      <c r="J204" s="24">
        <f t="shared" si="15"/>
        <v>15.99</v>
      </c>
      <c r="K204" s="24" t="s">
        <v>475</v>
      </c>
      <c r="L204" s="25">
        <f t="shared" si="18"/>
        <v>15.99</v>
      </c>
    </row>
    <row r="205" spans="1:12">
      <c r="A205" s="27">
        <v>21</v>
      </c>
      <c r="B205" s="57">
        <v>200940430</v>
      </c>
      <c r="C205" s="60" t="s">
        <v>197</v>
      </c>
      <c r="D205" s="24">
        <v>2.82</v>
      </c>
      <c r="E205" s="24">
        <v>7.47</v>
      </c>
      <c r="F205" s="24">
        <v>4.07</v>
      </c>
      <c r="G205" s="24">
        <v>5.33</v>
      </c>
      <c r="H205" s="24">
        <v>0</v>
      </c>
      <c r="I205" s="83">
        <v>9.33</v>
      </c>
      <c r="J205" s="24">
        <f t="shared" si="15"/>
        <v>29.02</v>
      </c>
      <c r="K205" s="24" t="s">
        <v>475</v>
      </c>
      <c r="L205" s="25">
        <f t="shared" si="18"/>
        <v>29.02</v>
      </c>
    </row>
    <row r="206" spans="1:12">
      <c r="A206" s="27">
        <v>22</v>
      </c>
      <c r="B206" s="45">
        <v>200940506</v>
      </c>
      <c r="C206" s="56" t="s">
        <v>198</v>
      </c>
      <c r="D206" s="24">
        <v>4.57</v>
      </c>
      <c r="E206" s="24">
        <v>6.8</v>
      </c>
      <c r="F206" s="24">
        <v>4.03</v>
      </c>
      <c r="G206" s="24">
        <v>3.93</v>
      </c>
      <c r="H206" s="24">
        <v>2.5299999999999998</v>
      </c>
      <c r="I206" s="83">
        <v>5.55</v>
      </c>
      <c r="J206" s="24">
        <f t="shared" si="15"/>
        <v>27.41</v>
      </c>
      <c r="K206" s="24" t="s">
        <v>475</v>
      </c>
      <c r="L206" s="25">
        <f t="shared" si="18"/>
        <v>27.41</v>
      </c>
    </row>
    <row r="207" spans="1:12">
      <c r="A207" s="27">
        <v>23</v>
      </c>
      <c r="B207" s="57">
        <v>200940516</v>
      </c>
      <c r="C207" s="58" t="s">
        <v>199</v>
      </c>
      <c r="D207" s="24">
        <v>6</v>
      </c>
      <c r="E207" s="24">
        <v>4.8499999999999996</v>
      </c>
      <c r="F207" s="24">
        <v>1.4</v>
      </c>
      <c r="G207" s="24">
        <v>5.73</v>
      </c>
      <c r="H207" s="24">
        <v>0.8</v>
      </c>
      <c r="I207" s="83">
        <v>9.24</v>
      </c>
      <c r="J207" s="24">
        <f t="shared" si="15"/>
        <v>28.020000000000003</v>
      </c>
      <c r="K207" s="24" t="s">
        <v>475</v>
      </c>
      <c r="L207" s="25">
        <f t="shared" si="18"/>
        <v>28.020000000000003</v>
      </c>
    </row>
    <row r="208" spans="1:12">
      <c r="A208" s="27">
        <v>24</v>
      </c>
      <c r="B208" s="45">
        <v>200940519</v>
      </c>
      <c r="C208" s="56" t="s">
        <v>200</v>
      </c>
      <c r="D208" s="24">
        <v>2.27</v>
      </c>
      <c r="E208" s="24">
        <v>1.95</v>
      </c>
      <c r="F208" s="24">
        <v>1.2</v>
      </c>
      <c r="G208" s="24">
        <v>3.47</v>
      </c>
      <c r="H208" s="24">
        <v>2</v>
      </c>
      <c r="I208" s="83">
        <v>8.6300000000000008</v>
      </c>
      <c r="J208" s="24">
        <f t="shared" si="15"/>
        <v>19.52</v>
      </c>
      <c r="K208" s="24" t="s">
        <v>475</v>
      </c>
      <c r="L208" s="25">
        <f t="shared" si="18"/>
        <v>19.52</v>
      </c>
    </row>
    <row r="209" spans="1:12">
      <c r="A209" s="27">
        <v>25</v>
      </c>
      <c r="B209" s="45">
        <v>200940521</v>
      </c>
      <c r="C209" s="56" t="s">
        <v>201</v>
      </c>
      <c r="D209" s="24">
        <v>9.1999999999999993</v>
      </c>
      <c r="E209" s="24">
        <v>7.45</v>
      </c>
      <c r="F209" s="24">
        <v>8</v>
      </c>
      <c r="G209" s="24">
        <v>7.13</v>
      </c>
      <c r="H209" s="24">
        <v>6.49</v>
      </c>
      <c r="I209" s="83">
        <v>7.8</v>
      </c>
      <c r="J209" s="24">
        <f t="shared" si="15"/>
        <v>46.069999999999993</v>
      </c>
      <c r="K209" s="24">
        <v>7.4</v>
      </c>
      <c r="L209" s="25">
        <f t="shared" si="16"/>
        <v>53.469999999999992</v>
      </c>
    </row>
    <row r="210" spans="1:12">
      <c r="A210" s="27">
        <v>26</v>
      </c>
      <c r="B210" s="57">
        <v>200940523</v>
      </c>
      <c r="C210" s="60" t="s">
        <v>202</v>
      </c>
      <c r="D210" s="24">
        <v>2.0699999999999998</v>
      </c>
      <c r="E210" s="24">
        <v>1.4</v>
      </c>
      <c r="F210" s="24">
        <v>0.45</v>
      </c>
      <c r="G210" s="24">
        <v>0</v>
      </c>
      <c r="H210" s="24">
        <v>0</v>
      </c>
      <c r="I210" s="83">
        <v>6.62</v>
      </c>
      <c r="J210" s="24">
        <f t="shared" si="15"/>
        <v>10.540000000000001</v>
      </c>
      <c r="K210" s="24" t="s">
        <v>475</v>
      </c>
      <c r="L210" s="25">
        <f>+J210</f>
        <v>10.540000000000001</v>
      </c>
    </row>
    <row r="211" spans="1:12">
      <c r="A211" s="27">
        <v>27</v>
      </c>
      <c r="B211" s="45">
        <v>200940739</v>
      </c>
      <c r="C211" s="56" t="s">
        <v>203</v>
      </c>
      <c r="D211" s="24">
        <v>2.57</v>
      </c>
      <c r="E211" s="24">
        <v>0.95</v>
      </c>
      <c r="F211" s="24">
        <v>0</v>
      </c>
      <c r="G211" s="24">
        <v>2</v>
      </c>
      <c r="H211" s="24">
        <v>0</v>
      </c>
      <c r="I211" s="83">
        <v>6.03</v>
      </c>
      <c r="J211" s="24">
        <f t="shared" si="15"/>
        <v>11.55</v>
      </c>
      <c r="K211" s="24" t="s">
        <v>475</v>
      </c>
      <c r="L211" s="25">
        <f t="shared" ref="L211:L214" si="19">+J211</f>
        <v>11.55</v>
      </c>
    </row>
    <row r="212" spans="1:12">
      <c r="A212" s="27">
        <v>28</v>
      </c>
      <c r="B212" s="45">
        <v>200941008</v>
      </c>
      <c r="C212" s="59" t="s">
        <v>204</v>
      </c>
      <c r="D212" s="24">
        <v>1.88</v>
      </c>
      <c r="E212" s="24">
        <v>2.65</v>
      </c>
      <c r="F212" s="24">
        <v>3.15</v>
      </c>
      <c r="G212" s="24">
        <v>8.9700000000000006</v>
      </c>
      <c r="H212" s="24">
        <v>2</v>
      </c>
      <c r="I212" s="83">
        <v>10.48</v>
      </c>
      <c r="J212" s="24">
        <f t="shared" si="15"/>
        <v>29.13</v>
      </c>
      <c r="K212" s="24" t="s">
        <v>475</v>
      </c>
      <c r="L212" s="25">
        <f t="shared" si="19"/>
        <v>29.13</v>
      </c>
    </row>
    <row r="213" spans="1:12">
      <c r="A213" s="27">
        <v>29</v>
      </c>
      <c r="B213" s="45">
        <v>200941435</v>
      </c>
      <c r="C213" s="59" t="s">
        <v>205</v>
      </c>
      <c r="D213" s="24">
        <v>2.13</v>
      </c>
      <c r="E213" s="24">
        <v>1.05</v>
      </c>
      <c r="F213" s="24">
        <v>0</v>
      </c>
      <c r="G213" s="24">
        <v>0</v>
      </c>
      <c r="H213" s="24">
        <v>0</v>
      </c>
      <c r="I213" s="83">
        <v>3.1</v>
      </c>
      <c r="J213" s="24">
        <f t="shared" si="15"/>
        <v>6.28</v>
      </c>
      <c r="K213" s="24" t="s">
        <v>475</v>
      </c>
      <c r="L213" s="25">
        <f t="shared" si="19"/>
        <v>6.28</v>
      </c>
    </row>
    <row r="214" spans="1:12">
      <c r="A214" s="27">
        <v>30</v>
      </c>
      <c r="B214" s="45">
        <v>200941436</v>
      </c>
      <c r="C214" s="56" t="s">
        <v>206</v>
      </c>
      <c r="D214" s="24">
        <v>1.82</v>
      </c>
      <c r="E214" s="24">
        <v>2.4</v>
      </c>
      <c r="F214" s="24">
        <v>4.9000000000000004</v>
      </c>
      <c r="G214" s="24">
        <v>6.43</v>
      </c>
      <c r="H214" s="24">
        <v>1.45</v>
      </c>
      <c r="I214" s="83">
        <v>8.2100000000000009</v>
      </c>
      <c r="J214" s="24">
        <f t="shared" si="15"/>
        <v>25.21</v>
      </c>
      <c r="K214" s="24" t="s">
        <v>475</v>
      </c>
      <c r="L214" s="25">
        <f t="shared" si="19"/>
        <v>25.21</v>
      </c>
    </row>
    <row r="215" spans="1:12">
      <c r="A215" s="27">
        <v>31</v>
      </c>
      <c r="B215" s="57">
        <v>200941438</v>
      </c>
      <c r="C215" s="60" t="s">
        <v>207</v>
      </c>
      <c r="D215" s="24">
        <v>7.53</v>
      </c>
      <c r="E215" s="24">
        <v>10.7</v>
      </c>
      <c r="F215" s="24">
        <v>7.9</v>
      </c>
      <c r="G215" s="24">
        <v>7.63</v>
      </c>
      <c r="H215" s="24">
        <v>6.73</v>
      </c>
      <c r="I215" s="83">
        <v>17.93</v>
      </c>
      <c r="J215" s="24">
        <f t="shared" si="15"/>
        <v>58.42</v>
      </c>
      <c r="K215" s="24">
        <v>15.4</v>
      </c>
      <c r="L215" s="25">
        <f t="shared" si="16"/>
        <v>73.820000000000007</v>
      </c>
    </row>
    <row r="216" spans="1:12">
      <c r="A216" s="27">
        <v>32</v>
      </c>
      <c r="B216" s="64">
        <v>200941680</v>
      </c>
      <c r="C216" s="68" t="s">
        <v>208</v>
      </c>
      <c r="D216" s="24">
        <v>6.97</v>
      </c>
      <c r="E216" s="24">
        <v>7.2</v>
      </c>
      <c r="F216" s="24">
        <v>7.32</v>
      </c>
      <c r="G216" s="24">
        <v>6.1</v>
      </c>
      <c r="H216" s="24">
        <v>8.89</v>
      </c>
      <c r="I216" s="83">
        <v>14.13</v>
      </c>
      <c r="J216" s="24">
        <f t="shared" si="15"/>
        <v>50.610000000000007</v>
      </c>
      <c r="K216" s="24">
        <v>15.2</v>
      </c>
      <c r="L216" s="25">
        <f t="shared" si="16"/>
        <v>65.81</v>
      </c>
    </row>
    <row r="217" spans="1:12">
      <c r="A217" s="27">
        <v>33</v>
      </c>
      <c r="B217" s="45">
        <v>200941794</v>
      </c>
      <c r="C217" s="56" t="s">
        <v>209</v>
      </c>
      <c r="D217" s="24">
        <v>8.32</v>
      </c>
      <c r="E217" s="24">
        <v>8.3000000000000007</v>
      </c>
      <c r="F217" s="24">
        <v>6.9</v>
      </c>
      <c r="G217" s="24">
        <v>6.7</v>
      </c>
      <c r="H217" s="24">
        <v>3.43</v>
      </c>
      <c r="I217" s="83">
        <v>12.42</v>
      </c>
      <c r="J217" s="24">
        <f t="shared" si="15"/>
        <v>46.07</v>
      </c>
      <c r="K217" s="24">
        <v>12</v>
      </c>
      <c r="L217" s="25">
        <f t="shared" si="16"/>
        <v>58.07</v>
      </c>
    </row>
    <row r="218" spans="1:12">
      <c r="A218" s="27">
        <v>34</v>
      </c>
      <c r="B218" s="64">
        <v>200941891</v>
      </c>
      <c r="C218" s="68" t="s">
        <v>210</v>
      </c>
      <c r="D218" s="24">
        <v>5.47</v>
      </c>
      <c r="E218" s="24">
        <v>6.05</v>
      </c>
      <c r="F218" s="24">
        <v>7.05</v>
      </c>
      <c r="G218" s="24">
        <v>7.3</v>
      </c>
      <c r="H218" s="24">
        <v>5.96</v>
      </c>
      <c r="I218" s="83">
        <v>18.54</v>
      </c>
      <c r="J218" s="24">
        <f t="shared" si="15"/>
        <v>50.37</v>
      </c>
      <c r="K218" s="24">
        <v>7</v>
      </c>
      <c r="L218" s="25">
        <f t="shared" si="16"/>
        <v>57.37</v>
      </c>
    </row>
    <row r="219" spans="1:12">
      <c r="A219" s="27">
        <v>35</v>
      </c>
      <c r="B219" s="45">
        <v>200941910</v>
      </c>
      <c r="C219" s="56" t="s">
        <v>211</v>
      </c>
      <c r="D219" s="24">
        <v>2</v>
      </c>
      <c r="E219" s="24">
        <v>4.3</v>
      </c>
      <c r="F219" s="24">
        <v>3.6</v>
      </c>
      <c r="G219" s="24">
        <v>3.83</v>
      </c>
      <c r="H219" s="24">
        <v>2.5</v>
      </c>
      <c r="I219" s="83">
        <v>11.2</v>
      </c>
      <c r="J219" s="24">
        <f t="shared" si="15"/>
        <v>27.430000000000003</v>
      </c>
      <c r="K219" s="24" t="s">
        <v>475</v>
      </c>
      <c r="L219" s="25">
        <f>+J219</f>
        <v>27.430000000000003</v>
      </c>
    </row>
    <row r="220" spans="1:12">
      <c r="A220" s="27">
        <v>36</v>
      </c>
      <c r="B220" s="45">
        <v>200942019</v>
      </c>
      <c r="C220" s="56" t="s">
        <v>212</v>
      </c>
      <c r="D220" s="24">
        <v>3.37</v>
      </c>
      <c r="E220" s="24">
        <v>1.4</v>
      </c>
      <c r="F220" s="24">
        <v>1.2</v>
      </c>
      <c r="G220" s="24">
        <v>1.03</v>
      </c>
      <c r="H220" s="24">
        <v>0</v>
      </c>
      <c r="I220" s="83">
        <v>6.94</v>
      </c>
      <c r="J220" s="24">
        <f t="shared" si="15"/>
        <v>13.940000000000001</v>
      </c>
      <c r="K220" s="24" t="s">
        <v>475</v>
      </c>
      <c r="L220" s="25">
        <f t="shared" ref="L220:L240" si="20">+J220</f>
        <v>13.940000000000001</v>
      </c>
    </row>
    <row r="221" spans="1:12">
      <c r="A221" s="27">
        <v>37</v>
      </c>
      <c r="B221" s="45">
        <v>200942151</v>
      </c>
      <c r="C221" s="56" t="s">
        <v>213</v>
      </c>
      <c r="D221" s="24">
        <v>5.2</v>
      </c>
      <c r="E221" s="24">
        <v>4.05</v>
      </c>
      <c r="F221" s="24">
        <v>1.1000000000000001</v>
      </c>
      <c r="G221" s="24">
        <v>5.9</v>
      </c>
      <c r="H221" s="24">
        <v>0</v>
      </c>
      <c r="I221" s="83">
        <v>4.22</v>
      </c>
      <c r="J221" s="24">
        <f t="shared" si="15"/>
        <v>20.47</v>
      </c>
      <c r="K221" s="24" t="s">
        <v>475</v>
      </c>
      <c r="L221" s="25">
        <f t="shared" si="20"/>
        <v>20.47</v>
      </c>
    </row>
    <row r="222" spans="1:12">
      <c r="A222" s="27">
        <v>38</v>
      </c>
      <c r="B222" s="45">
        <v>200942666</v>
      </c>
      <c r="C222" s="56" t="s">
        <v>214</v>
      </c>
      <c r="D222" s="24">
        <v>5.4</v>
      </c>
      <c r="E222" s="24">
        <v>5.85</v>
      </c>
      <c r="F222" s="24">
        <v>1.1000000000000001</v>
      </c>
      <c r="G222" s="24">
        <v>5.4</v>
      </c>
      <c r="H222" s="24">
        <v>2.25</v>
      </c>
      <c r="I222" s="83">
        <v>13.16</v>
      </c>
      <c r="J222" s="24">
        <f t="shared" si="15"/>
        <v>33.160000000000004</v>
      </c>
      <c r="K222" s="24" t="s">
        <v>475</v>
      </c>
      <c r="L222" s="25">
        <f t="shared" si="20"/>
        <v>33.160000000000004</v>
      </c>
    </row>
    <row r="223" spans="1:12">
      <c r="A223" s="27">
        <v>39</v>
      </c>
      <c r="B223" s="45">
        <v>200942804</v>
      </c>
      <c r="C223" s="59" t="s">
        <v>215</v>
      </c>
      <c r="D223" s="24">
        <v>2.4</v>
      </c>
      <c r="E223" s="24">
        <v>3.15</v>
      </c>
      <c r="F223" s="24">
        <v>1</v>
      </c>
      <c r="G223" s="24">
        <v>5.4</v>
      </c>
      <c r="H223" s="24">
        <v>0.4</v>
      </c>
      <c r="I223" s="83">
        <v>7.97</v>
      </c>
      <c r="J223" s="24">
        <f t="shared" si="15"/>
        <v>20.319999999999997</v>
      </c>
      <c r="K223" s="24" t="s">
        <v>475</v>
      </c>
      <c r="L223" s="25">
        <f t="shared" si="20"/>
        <v>20.319999999999997</v>
      </c>
    </row>
    <row r="224" spans="1:12">
      <c r="A224" s="27">
        <v>40</v>
      </c>
      <c r="B224" s="45">
        <v>200942806</v>
      </c>
      <c r="C224" s="59" t="s">
        <v>216</v>
      </c>
      <c r="D224" s="24">
        <v>1.7</v>
      </c>
      <c r="E224" s="24">
        <v>3.3</v>
      </c>
      <c r="F224" s="24">
        <v>4.87</v>
      </c>
      <c r="G224" s="24">
        <v>0</v>
      </c>
      <c r="H224" s="24">
        <v>0</v>
      </c>
      <c r="I224" s="83">
        <v>11.05</v>
      </c>
      <c r="J224" s="24">
        <f t="shared" si="15"/>
        <v>20.92</v>
      </c>
      <c r="K224" s="24" t="s">
        <v>475</v>
      </c>
      <c r="L224" s="25">
        <f t="shared" si="20"/>
        <v>20.92</v>
      </c>
    </row>
    <row r="225" spans="1:12">
      <c r="A225" s="27">
        <v>41</v>
      </c>
      <c r="B225" s="45">
        <v>200942915</v>
      </c>
      <c r="C225" s="59" t="s">
        <v>217</v>
      </c>
      <c r="D225" s="24">
        <v>4.18</v>
      </c>
      <c r="E225" s="24">
        <v>5.55</v>
      </c>
      <c r="F225" s="24">
        <v>3.3</v>
      </c>
      <c r="G225" s="24">
        <v>0</v>
      </c>
      <c r="H225" s="24">
        <v>0</v>
      </c>
      <c r="I225" s="83">
        <v>10.95</v>
      </c>
      <c r="J225" s="24">
        <f t="shared" si="15"/>
        <v>23.98</v>
      </c>
      <c r="K225" s="24" t="s">
        <v>475</v>
      </c>
      <c r="L225" s="25">
        <f t="shared" si="20"/>
        <v>23.98</v>
      </c>
    </row>
    <row r="226" spans="1:12">
      <c r="A226" s="27">
        <v>42</v>
      </c>
      <c r="B226" s="57">
        <v>200942930</v>
      </c>
      <c r="C226" s="60" t="s">
        <v>218</v>
      </c>
      <c r="D226" s="24">
        <v>3.63</v>
      </c>
      <c r="E226" s="24">
        <v>6</v>
      </c>
      <c r="F226" s="24">
        <v>2.6</v>
      </c>
      <c r="G226" s="24">
        <v>2.27</v>
      </c>
      <c r="H226" s="24">
        <v>0</v>
      </c>
      <c r="I226" s="83">
        <v>11.29</v>
      </c>
      <c r="J226" s="24">
        <f>+I226+H226+G226+F226+D226+E226</f>
        <v>25.79</v>
      </c>
      <c r="K226" s="24" t="s">
        <v>475</v>
      </c>
      <c r="L226" s="25">
        <f t="shared" si="20"/>
        <v>25.79</v>
      </c>
    </row>
    <row r="227" spans="1:12">
      <c r="A227" s="27">
        <v>43</v>
      </c>
      <c r="B227" s="45">
        <v>200942987</v>
      </c>
      <c r="C227" s="56" t="s">
        <v>219</v>
      </c>
      <c r="D227" s="24">
        <v>1.23</v>
      </c>
      <c r="E227" s="24">
        <v>2.2000000000000002</v>
      </c>
      <c r="F227" s="24">
        <v>2.2000000000000002</v>
      </c>
      <c r="G227" s="24">
        <v>4.0999999999999996</v>
      </c>
      <c r="H227" s="24">
        <v>1.6</v>
      </c>
      <c r="I227" s="83">
        <v>12.41</v>
      </c>
      <c r="J227" s="24">
        <f t="shared" ref="J227:J240" si="21">+I227+H227+G227+F227+E227+D227</f>
        <v>23.74</v>
      </c>
      <c r="K227" s="24" t="s">
        <v>475</v>
      </c>
      <c r="L227" s="25">
        <f t="shared" si="20"/>
        <v>23.74</v>
      </c>
    </row>
    <row r="228" spans="1:12">
      <c r="A228" s="27">
        <v>44</v>
      </c>
      <c r="B228" s="45">
        <v>200943116</v>
      </c>
      <c r="C228" s="56" t="s">
        <v>220</v>
      </c>
      <c r="D228" s="24">
        <v>2.4500000000000002</v>
      </c>
      <c r="E228" s="24">
        <v>3.45</v>
      </c>
      <c r="F228" s="24">
        <v>4.0999999999999996</v>
      </c>
      <c r="G228" s="24">
        <v>5.33</v>
      </c>
      <c r="H228" s="24">
        <v>1.05</v>
      </c>
      <c r="I228" s="83">
        <v>10.07</v>
      </c>
      <c r="J228" s="24">
        <f t="shared" si="21"/>
        <v>26.450000000000003</v>
      </c>
      <c r="K228" s="24" t="s">
        <v>475</v>
      </c>
      <c r="L228" s="25">
        <f t="shared" si="20"/>
        <v>26.450000000000003</v>
      </c>
    </row>
    <row r="229" spans="1:12">
      <c r="A229" s="27">
        <v>45</v>
      </c>
      <c r="B229" s="37">
        <v>200943121</v>
      </c>
      <c r="C229" s="51" t="s">
        <v>221</v>
      </c>
      <c r="D229" s="24">
        <v>3.5</v>
      </c>
      <c r="E229" s="24">
        <v>4.95</v>
      </c>
      <c r="F229" s="24">
        <v>5.6</v>
      </c>
      <c r="G229" s="24">
        <v>4.07</v>
      </c>
      <c r="H229" s="24">
        <v>0</v>
      </c>
      <c r="I229" s="83">
        <v>8.49</v>
      </c>
      <c r="J229" s="24">
        <f t="shared" si="21"/>
        <v>26.61</v>
      </c>
      <c r="K229" s="24" t="s">
        <v>475</v>
      </c>
      <c r="L229" s="25">
        <f t="shared" si="20"/>
        <v>26.61</v>
      </c>
    </row>
    <row r="230" spans="1:12">
      <c r="A230" s="27">
        <v>46</v>
      </c>
      <c r="B230" s="37">
        <v>200943122</v>
      </c>
      <c r="C230" s="51" t="s">
        <v>222</v>
      </c>
      <c r="D230" s="24">
        <v>2.5</v>
      </c>
      <c r="E230" s="24">
        <v>5.4</v>
      </c>
      <c r="F230" s="24">
        <v>3.75</v>
      </c>
      <c r="G230" s="24">
        <v>1.82</v>
      </c>
      <c r="H230" s="24">
        <v>0</v>
      </c>
      <c r="I230" s="83">
        <v>7.15</v>
      </c>
      <c r="J230" s="24">
        <f t="shared" si="21"/>
        <v>20.62</v>
      </c>
      <c r="K230" s="24" t="s">
        <v>475</v>
      </c>
      <c r="L230" s="25">
        <f t="shared" si="20"/>
        <v>20.62</v>
      </c>
    </row>
    <row r="231" spans="1:12">
      <c r="A231" s="27">
        <v>47</v>
      </c>
      <c r="B231" s="37">
        <v>200943128</v>
      </c>
      <c r="C231" s="51" t="s">
        <v>223</v>
      </c>
      <c r="D231" s="24">
        <v>1.57</v>
      </c>
      <c r="E231" s="24">
        <v>1.5</v>
      </c>
      <c r="F231" s="24">
        <v>2.6</v>
      </c>
      <c r="G231" s="24">
        <v>5.9</v>
      </c>
      <c r="H231" s="24">
        <v>1.75</v>
      </c>
      <c r="I231" s="83">
        <v>11.42</v>
      </c>
      <c r="J231" s="24">
        <f t="shared" si="21"/>
        <v>24.740000000000002</v>
      </c>
      <c r="K231" s="24" t="s">
        <v>475</v>
      </c>
      <c r="L231" s="25">
        <f t="shared" si="20"/>
        <v>24.740000000000002</v>
      </c>
    </row>
    <row r="232" spans="1:12">
      <c r="A232" s="27">
        <v>48</v>
      </c>
      <c r="B232" s="37">
        <v>200943314</v>
      </c>
      <c r="C232" s="51" t="s">
        <v>224</v>
      </c>
      <c r="D232" s="24">
        <v>1.77</v>
      </c>
      <c r="E232" s="24">
        <v>2.2000000000000002</v>
      </c>
      <c r="F232" s="24">
        <v>1.25</v>
      </c>
      <c r="G232" s="24">
        <v>3.2</v>
      </c>
      <c r="H232" s="24">
        <v>0</v>
      </c>
      <c r="I232" s="83">
        <v>7.03</v>
      </c>
      <c r="J232" s="24">
        <f t="shared" si="21"/>
        <v>15.45</v>
      </c>
      <c r="K232" s="24" t="s">
        <v>475</v>
      </c>
      <c r="L232" s="25">
        <f t="shared" si="20"/>
        <v>15.45</v>
      </c>
    </row>
    <row r="233" spans="1:12">
      <c r="A233" s="27">
        <v>49</v>
      </c>
      <c r="B233" s="37">
        <v>200943330</v>
      </c>
      <c r="C233" s="51" t="s">
        <v>225</v>
      </c>
      <c r="D233" s="24">
        <v>2.1</v>
      </c>
      <c r="E233" s="24">
        <v>3.35</v>
      </c>
      <c r="F233" s="24">
        <v>0</v>
      </c>
      <c r="G233" s="24">
        <v>0</v>
      </c>
      <c r="H233" s="24">
        <v>0</v>
      </c>
      <c r="I233" s="83">
        <v>2.4700000000000002</v>
      </c>
      <c r="J233" s="24">
        <f t="shared" si="21"/>
        <v>7.92</v>
      </c>
      <c r="K233" s="24" t="s">
        <v>475</v>
      </c>
      <c r="L233" s="25">
        <f t="shared" si="20"/>
        <v>7.92</v>
      </c>
    </row>
    <row r="234" spans="1:12">
      <c r="A234" s="27">
        <v>50</v>
      </c>
      <c r="B234" s="40">
        <v>200943368</v>
      </c>
      <c r="C234" s="52" t="s">
        <v>226</v>
      </c>
      <c r="D234" s="24">
        <v>3.37</v>
      </c>
      <c r="E234" s="24">
        <v>2.4500000000000002</v>
      </c>
      <c r="F234" s="24">
        <v>2.4300000000000002</v>
      </c>
      <c r="G234" s="24">
        <v>2.4</v>
      </c>
      <c r="H234" s="24">
        <v>0.7</v>
      </c>
      <c r="I234" s="83">
        <v>5.27</v>
      </c>
      <c r="J234" s="24">
        <f t="shared" si="21"/>
        <v>16.62</v>
      </c>
      <c r="K234" s="24" t="s">
        <v>475</v>
      </c>
      <c r="L234" s="25">
        <f t="shared" si="20"/>
        <v>16.62</v>
      </c>
    </row>
    <row r="235" spans="1:12">
      <c r="A235" s="27">
        <v>51</v>
      </c>
      <c r="B235" s="63">
        <v>200943645</v>
      </c>
      <c r="C235" s="69" t="s">
        <v>227</v>
      </c>
      <c r="D235" s="24">
        <v>3.22</v>
      </c>
      <c r="E235" s="24">
        <v>4.2</v>
      </c>
      <c r="F235" s="24">
        <v>5.5</v>
      </c>
      <c r="G235" s="24">
        <v>4.95</v>
      </c>
      <c r="H235" s="24">
        <v>4.0999999999999996</v>
      </c>
      <c r="I235" s="83">
        <v>11.14</v>
      </c>
      <c r="J235" s="24">
        <f t="shared" si="21"/>
        <v>33.11</v>
      </c>
      <c r="K235" s="24" t="s">
        <v>475</v>
      </c>
      <c r="L235" s="25">
        <f t="shared" si="20"/>
        <v>33.11</v>
      </c>
    </row>
    <row r="236" spans="1:12">
      <c r="A236" s="27">
        <v>52</v>
      </c>
      <c r="B236" s="63">
        <v>200943703</v>
      </c>
      <c r="C236" s="69" t="s">
        <v>228</v>
      </c>
      <c r="D236" s="24">
        <v>3.02</v>
      </c>
      <c r="E236" s="24">
        <v>3.8</v>
      </c>
      <c r="F236" s="24">
        <v>7.47</v>
      </c>
      <c r="G236" s="24">
        <v>6.03</v>
      </c>
      <c r="H236" s="24">
        <v>7.62</v>
      </c>
      <c r="I236" s="83">
        <v>16.940000000000001</v>
      </c>
      <c r="J236" s="24">
        <f t="shared" si="21"/>
        <v>44.88</v>
      </c>
      <c r="K236" s="24">
        <v>9.9</v>
      </c>
      <c r="L236" s="25">
        <f>+K236+J236</f>
        <v>54.78</v>
      </c>
    </row>
    <row r="237" spans="1:12">
      <c r="A237" s="27">
        <v>53</v>
      </c>
      <c r="B237" s="64">
        <v>200944051</v>
      </c>
      <c r="C237" s="68" t="s">
        <v>229</v>
      </c>
      <c r="D237" s="24">
        <v>2.67</v>
      </c>
      <c r="E237" s="24">
        <v>2.1</v>
      </c>
      <c r="F237" s="24">
        <v>0.3</v>
      </c>
      <c r="G237" s="24">
        <v>0</v>
      </c>
      <c r="H237" s="24">
        <v>0</v>
      </c>
      <c r="I237" s="83">
        <v>7.07</v>
      </c>
      <c r="J237" s="24">
        <f t="shared" si="21"/>
        <v>12.14</v>
      </c>
      <c r="K237" s="24" t="s">
        <v>475</v>
      </c>
      <c r="L237" s="25">
        <f t="shared" si="20"/>
        <v>12.14</v>
      </c>
    </row>
    <row r="238" spans="1:12">
      <c r="A238" s="27">
        <v>54</v>
      </c>
      <c r="B238" s="63">
        <v>200944223</v>
      </c>
      <c r="C238" s="69" t="s">
        <v>230</v>
      </c>
      <c r="D238" s="24">
        <v>1.57</v>
      </c>
      <c r="E238" s="24">
        <v>2.4</v>
      </c>
      <c r="F238" s="24">
        <v>0</v>
      </c>
      <c r="G238" s="24">
        <v>0</v>
      </c>
      <c r="H238" s="24">
        <v>0</v>
      </c>
      <c r="I238" s="83">
        <v>1.17</v>
      </c>
      <c r="J238" s="24">
        <f t="shared" si="21"/>
        <v>5.14</v>
      </c>
      <c r="K238" s="24" t="s">
        <v>475</v>
      </c>
      <c r="L238" s="25">
        <f t="shared" si="20"/>
        <v>5.14</v>
      </c>
    </row>
    <row r="239" spans="1:12">
      <c r="A239" s="27">
        <v>55</v>
      </c>
      <c r="B239" s="63">
        <v>200944768</v>
      </c>
      <c r="C239" s="69" t="s">
        <v>231</v>
      </c>
      <c r="D239" s="24">
        <v>3.87</v>
      </c>
      <c r="E239" s="24">
        <v>4.7</v>
      </c>
      <c r="F239" s="24">
        <v>2.4</v>
      </c>
      <c r="G239" s="24">
        <v>5.75</v>
      </c>
      <c r="H239" s="24">
        <v>0.65</v>
      </c>
      <c r="I239" s="83">
        <v>13.78</v>
      </c>
      <c r="J239" s="24">
        <f t="shared" si="21"/>
        <v>31.15</v>
      </c>
      <c r="K239" s="24" t="s">
        <v>475</v>
      </c>
      <c r="L239" s="25">
        <f t="shared" si="20"/>
        <v>31.15</v>
      </c>
    </row>
    <row r="240" spans="1:12">
      <c r="A240" s="27">
        <v>56</v>
      </c>
      <c r="B240" s="37">
        <v>200944831</v>
      </c>
      <c r="C240" s="51" t="s">
        <v>232</v>
      </c>
      <c r="D240" s="24">
        <v>4.1500000000000004</v>
      </c>
      <c r="E240" s="24">
        <v>4.95</v>
      </c>
      <c r="F240" s="24">
        <v>3.8</v>
      </c>
      <c r="G240" s="24">
        <v>1.98</v>
      </c>
      <c r="H240" s="24">
        <v>1.55</v>
      </c>
      <c r="I240" s="83">
        <v>11.18</v>
      </c>
      <c r="J240" s="24">
        <f t="shared" si="21"/>
        <v>27.61</v>
      </c>
      <c r="K240" s="24" t="s">
        <v>475</v>
      </c>
      <c r="L240" s="25">
        <f t="shared" si="20"/>
        <v>27.61</v>
      </c>
    </row>
    <row r="241" spans="1:10">
      <c r="A241" s="29"/>
      <c r="B241" s="29"/>
      <c r="C241" s="30"/>
      <c r="D241" s="31"/>
      <c r="E241" s="31"/>
      <c r="F241" s="31"/>
      <c r="G241" s="31"/>
      <c r="H241" s="31"/>
      <c r="I241" s="31"/>
      <c r="J241" s="31"/>
    </row>
    <row r="242" spans="1:10">
      <c r="A242" s="29"/>
      <c r="B242" s="29"/>
      <c r="C242" s="30"/>
      <c r="D242" s="31"/>
      <c r="E242" s="31"/>
      <c r="F242" s="31"/>
      <c r="G242" s="31"/>
      <c r="H242" s="31"/>
      <c r="I242" s="31"/>
      <c r="J242" s="31"/>
    </row>
    <row r="243" spans="1:10" ht="17.25" thickBot="1">
      <c r="A243" s="33"/>
      <c r="B243" s="33"/>
      <c r="C243" s="34"/>
      <c r="D243" s="31"/>
      <c r="E243" s="31"/>
      <c r="F243" s="31"/>
      <c r="G243" s="31"/>
      <c r="H243" s="35"/>
      <c r="I243" s="35"/>
      <c r="J243" s="35"/>
    </row>
    <row r="244" spans="1:10">
      <c r="H244" s="100" t="s">
        <v>434</v>
      </c>
      <c r="I244" s="100"/>
      <c r="J244" s="100"/>
    </row>
    <row r="245" spans="1:10">
      <c r="D245" s="36"/>
      <c r="H245" s="100" t="s">
        <v>430</v>
      </c>
      <c r="I245" s="100"/>
      <c r="J245" s="100"/>
    </row>
    <row r="246" spans="1:10">
      <c r="D246" s="36"/>
      <c r="H246" s="100" t="s">
        <v>431</v>
      </c>
      <c r="I246" s="100"/>
      <c r="J246" s="100"/>
    </row>
    <row r="259" spans="1:12" ht="17.25" thickBot="1">
      <c r="A259" s="1" t="s">
        <v>0</v>
      </c>
      <c r="I259" s="3"/>
    </row>
    <row r="260" spans="1:12">
      <c r="A260" s="1" t="s">
        <v>1</v>
      </c>
      <c r="F260" s="4"/>
      <c r="G260" s="5"/>
      <c r="H260" s="6"/>
      <c r="I260" s="7"/>
    </row>
    <row r="261" spans="1:12">
      <c r="A261" s="8" t="s">
        <v>2</v>
      </c>
      <c r="B261" s="9"/>
      <c r="E261" s="7"/>
      <c r="F261" s="10"/>
      <c r="G261" s="11"/>
      <c r="H261" s="12"/>
      <c r="I261" s="7"/>
    </row>
    <row r="262" spans="1:12" ht="17.25" thickBot="1">
      <c r="A262" s="13" t="s">
        <v>3</v>
      </c>
      <c r="B262" s="9"/>
      <c r="E262" s="7"/>
      <c r="F262" s="10"/>
      <c r="G262" s="11"/>
      <c r="H262" s="12"/>
      <c r="I262" s="7"/>
    </row>
    <row r="263" spans="1:12" ht="17.25" thickBot="1">
      <c r="A263" s="14" t="s">
        <v>22</v>
      </c>
      <c r="B263" s="15"/>
      <c r="C263" s="16"/>
      <c r="E263" s="7"/>
      <c r="F263" s="17"/>
      <c r="G263" s="18"/>
      <c r="H263" s="19"/>
      <c r="I263" s="7"/>
    </row>
    <row r="264" spans="1:12">
      <c r="A264" s="8"/>
      <c r="B264" s="9"/>
      <c r="E264" s="7"/>
      <c r="I264" s="3"/>
    </row>
    <row r="265" spans="1:12">
      <c r="A265" s="1" t="s">
        <v>91</v>
      </c>
      <c r="B265" s="9"/>
      <c r="C265" s="20" t="s">
        <v>233</v>
      </c>
      <c r="E265" s="7"/>
      <c r="I265" s="3"/>
    </row>
    <row r="266" spans="1:12">
      <c r="A266" s="1" t="s">
        <v>4</v>
      </c>
      <c r="C266" s="20" t="s">
        <v>426</v>
      </c>
      <c r="I266" s="3"/>
    </row>
    <row r="267" spans="1:12">
      <c r="A267" s="1" t="s">
        <v>5</v>
      </c>
      <c r="C267" s="20" t="s">
        <v>427</v>
      </c>
    </row>
    <row r="268" spans="1:12">
      <c r="A268" s="21"/>
      <c r="B268" s="21"/>
      <c r="C268" s="21"/>
      <c r="D268" s="21"/>
      <c r="E268" s="21"/>
      <c r="F268" s="21"/>
      <c r="G268" s="21"/>
      <c r="H268" s="21"/>
      <c r="I268" s="21"/>
      <c r="J268" s="21"/>
    </row>
    <row r="269" spans="1:12">
      <c r="A269" s="1"/>
      <c r="C269" s="22" t="s">
        <v>6</v>
      </c>
      <c r="D269" s="22" t="s">
        <v>435</v>
      </c>
      <c r="E269" s="22" t="s">
        <v>435</v>
      </c>
      <c r="F269" s="22" t="s">
        <v>435</v>
      </c>
      <c r="G269" s="22" t="s">
        <v>435</v>
      </c>
      <c r="H269" s="22" t="s">
        <v>435</v>
      </c>
      <c r="I269" s="22" t="s">
        <v>7</v>
      </c>
      <c r="J269" s="22" t="s">
        <v>8</v>
      </c>
      <c r="K269" s="22" t="s">
        <v>7</v>
      </c>
      <c r="L269" s="22" t="s">
        <v>9</v>
      </c>
    </row>
    <row r="270" spans="1:12">
      <c r="A270" s="22" t="s">
        <v>10</v>
      </c>
      <c r="B270" s="22" t="s">
        <v>11</v>
      </c>
      <c r="C270" s="22" t="s">
        <v>12</v>
      </c>
      <c r="D270" s="22" t="s">
        <v>13</v>
      </c>
      <c r="E270" s="22" t="s">
        <v>14</v>
      </c>
      <c r="F270" s="22" t="s">
        <v>15</v>
      </c>
      <c r="G270" s="22" t="s">
        <v>16</v>
      </c>
      <c r="H270" s="22" t="s">
        <v>17</v>
      </c>
      <c r="I270" s="22" t="s">
        <v>95</v>
      </c>
      <c r="J270" s="22" t="s">
        <v>18</v>
      </c>
      <c r="K270" s="22" t="s">
        <v>19</v>
      </c>
      <c r="L270" s="22" t="s">
        <v>20</v>
      </c>
    </row>
    <row r="271" spans="1:12">
      <c r="A271" s="23">
        <v>1</v>
      </c>
      <c r="B271" s="37">
        <v>200741726</v>
      </c>
      <c r="C271" s="51" t="s">
        <v>235</v>
      </c>
      <c r="D271" s="24">
        <v>10.029999999999999</v>
      </c>
      <c r="E271" s="24">
        <v>3.35</v>
      </c>
      <c r="F271" s="24">
        <v>3.5</v>
      </c>
      <c r="G271" s="24">
        <v>0.17</v>
      </c>
      <c r="H271" s="24">
        <v>0</v>
      </c>
      <c r="I271" s="24">
        <v>4.25</v>
      </c>
      <c r="J271" s="24">
        <f>+I271+H271+G271+F271+E271+D271</f>
        <v>21.299999999999997</v>
      </c>
      <c r="K271" s="24" t="s">
        <v>475</v>
      </c>
      <c r="L271" s="25">
        <f>+J271</f>
        <v>21.299999999999997</v>
      </c>
    </row>
    <row r="272" spans="1:12">
      <c r="A272" s="26">
        <v>2</v>
      </c>
      <c r="B272" s="37">
        <v>200741810</v>
      </c>
      <c r="C272" s="52" t="s">
        <v>236</v>
      </c>
      <c r="D272" s="24">
        <v>1.93</v>
      </c>
      <c r="E272" s="24">
        <v>2.1</v>
      </c>
      <c r="F272" s="24">
        <v>2.6</v>
      </c>
      <c r="G272" s="24">
        <v>3.93</v>
      </c>
      <c r="H272" s="24">
        <v>0</v>
      </c>
      <c r="I272" s="24">
        <v>5.25</v>
      </c>
      <c r="J272" s="24">
        <f>+I272+H272+G272+F272+E272+D272</f>
        <v>15.809999999999999</v>
      </c>
      <c r="K272" s="24" t="s">
        <v>475</v>
      </c>
      <c r="L272" s="25">
        <f t="shared" ref="L272:L274" si="22">+J272</f>
        <v>15.809999999999999</v>
      </c>
    </row>
    <row r="273" spans="1:12">
      <c r="A273" s="27">
        <v>3</v>
      </c>
      <c r="B273" s="37">
        <v>200741839</v>
      </c>
      <c r="C273" s="51" t="s">
        <v>237</v>
      </c>
      <c r="D273" s="24">
        <v>3.04</v>
      </c>
      <c r="E273" s="24">
        <v>5.05</v>
      </c>
      <c r="F273" s="24">
        <v>5.7</v>
      </c>
      <c r="G273" s="24">
        <v>2.3199999999999998</v>
      </c>
      <c r="H273" s="24">
        <v>2.83</v>
      </c>
      <c r="I273" s="24">
        <v>17.75</v>
      </c>
      <c r="J273" s="24">
        <f t="shared" ref="J273:J326" si="23">+I273+H273+G273+F273+E273+D273</f>
        <v>36.69</v>
      </c>
      <c r="K273" s="24" t="s">
        <v>475</v>
      </c>
      <c r="L273" s="25">
        <f t="shared" si="22"/>
        <v>36.69</v>
      </c>
    </row>
    <row r="274" spans="1:12">
      <c r="A274" s="26">
        <v>4</v>
      </c>
      <c r="B274" s="37">
        <v>200741850</v>
      </c>
      <c r="C274" s="51" t="s">
        <v>239</v>
      </c>
      <c r="D274" s="24">
        <v>5.69</v>
      </c>
      <c r="E274" s="24">
        <v>3.85</v>
      </c>
      <c r="F274" s="24">
        <v>5.05</v>
      </c>
      <c r="G274" s="24">
        <v>5.47</v>
      </c>
      <c r="H274" s="24">
        <v>0</v>
      </c>
      <c r="I274" s="24">
        <v>9.25</v>
      </c>
      <c r="J274" s="24">
        <f t="shared" si="23"/>
        <v>29.310000000000002</v>
      </c>
      <c r="K274" s="24" t="s">
        <v>475</v>
      </c>
      <c r="L274" s="25">
        <f t="shared" si="22"/>
        <v>29.310000000000002</v>
      </c>
    </row>
    <row r="275" spans="1:12">
      <c r="A275" s="26">
        <v>5</v>
      </c>
      <c r="B275" s="37">
        <v>200840177</v>
      </c>
      <c r="C275" s="51" t="s">
        <v>242</v>
      </c>
      <c r="D275" s="24">
        <v>4.3099999999999996</v>
      </c>
      <c r="E275" s="24">
        <v>5.75</v>
      </c>
      <c r="F275" s="24">
        <v>4.25</v>
      </c>
      <c r="G275" s="24">
        <v>4.63</v>
      </c>
      <c r="H275" s="24">
        <v>4.33</v>
      </c>
      <c r="I275" s="24">
        <v>19.149999999999999</v>
      </c>
      <c r="J275" s="24">
        <f t="shared" si="23"/>
        <v>42.42</v>
      </c>
      <c r="K275" s="24">
        <v>9.07</v>
      </c>
      <c r="L275" s="25">
        <f t="shared" ref="L275:L315" si="24">+K275+J275</f>
        <v>51.49</v>
      </c>
    </row>
    <row r="276" spans="1:12">
      <c r="A276" s="26">
        <v>6</v>
      </c>
      <c r="B276" s="37">
        <v>200840205</v>
      </c>
      <c r="C276" s="52" t="s">
        <v>243</v>
      </c>
      <c r="D276" s="24">
        <v>3.81</v>
      </c>
      <c r="E276" s="24">
        <v>5.9</v>
      </c>
      <c r="F276" s="24">
        <v>4.9000000000000004</v>
      </c>
      <c r="G276" s="24">
        <v>4.43</v>
      </c>
      <c r="H276" s="24">
        <v>7.17</v>
      </c>
      <c r="I276" s="24">
        <v>14.15</v>
      </c>
      <c r="J276" s="24">
        <v>50.11</v>
      </c>
      <c r="K276" s="24">
        <v>11.8</v>
      </c>
      <c r="L276" s="25">
        <f>+K276+J276</f>
        <v>61.91</v>
      </c>
    </row>
    <row r="277" spans="1:12">
      <c r="A277" s="26">
        <v>7</v>
      </c>
      <c r="B277" s="37">
        <v>200840223</v>
      </c>
      <c r="C277" s="52" t="s">
        <v>245</v>
      </c>
      <c r="D277" s="24">
        <v>0</v>
      </c>
      <c r="E277" s="24">
        <v>3.6</v>
      </c>
      <c r="F277" s="24">
        <v>0</v>
      </c>
      <c r="G277" s="24">
        <v>0</v>
      </c>
      <c r="H277" s="24">
        <v>0</v>
      </c>
      <c r="I277" s="24">
        <v>3.6</v>
      </c>
      <c r="J277" s="24">
        <f t="shared" si="23"/>
        <v>7.2</v>
      </c>
      <c r="K277" s="24" t="s">
        <v>475</v>
      </c>
      <c r="L277" s="25">
        <f t="shared" ref="L277:L279" si="25">+J277</f>
        <v>7.2</v>
      </c>
    </row>
    <row r="278" spans="1:12">
      <c r="A278" s="26">
        <v>8</v>
      </c>
      <c r="B278" s="37">
        <v>200840267</v>
      </c>
      <c r="C278" s="51" t="s">
        <v>246</v>
      </c>
      <c r="D278" s="24">
        <v>5.81</v>
      </c>
      <c r="E278" s="24">
        <v>6.45</v>
      </c>
      <c r="F278" s="24">
        <v>1.9</v>
      </c>
      <c r="G278" s="24">
        <f>+H278</f>
        <v>4.07</v>
      </c>
      <c r="H278" s="24">
        <v>4.07</v>
      </c>
      <c r="I278" s="24">
        <v>18.3</v>
      </c>
      <c r="J278" s="24">
        <f t="shared" si="23"/>
        <v>40.6</v>
      </c>
      <c r="K278" s="24" t="s">
        <v>475</v>
      </c>
      <c r="L278" s="25">
        <f t="shared" si="25"/>
        <v>40.6</v>
      </c>
    </row>
    <row r="279" spans="1:12">
      <c r="A279" s="26">
        <v>9</v>
      </c>
      <c r="B279" s="37">
        <v>200840270</v>
      </c>
      <c r="C279" s="51" t="s">
        <v>247</v>
      </c>
      <c r="D279" s="24">
        <v>2.73</v>
      </c>
      <c r="E279" s="24">
        <v>6.03</v>
      </c>
      <c r="F279" s="24">
        <v>4.5</v>
      </c>
      <c r="G279" s="24">
        <v>4.7699999999999996</v>
      </c>
      <c r="H279" s="24">
        <v>3.46</v>
      </c>
      <c r="I279" s="24">
        <v>18.55</v>
      </c>
      <c r="J279" s="24">
        <f t="shared" si="23"/>
        <v>40.04</v>
      </c>
      <c r="K279" s="24" t="s">
        <v>475</v>
      </c>
      <c r="L279" s="25">
        <f t="shared" si="25"/>
        <v>40.04</v>
      </c>
    </row>
    <row r="280" spans="1:12">
      <c r="A280" s="26">
        <v>10</v>
      </c>
      <c r="B280" s="37">
        <v>200842086</v>
      </c>
      <c r="C280" s="51" t="s">
        <v>249</v>
      </c>
      <c r="D280" s="24">
        <v>6.14</v>
      </c>
      <c r="E280" s="24">
        <v>9.76</v>
      </c>
      <c r="F280" s="24">
        <v>9.1</v>
      </c>
      <c r="G280" s="24">
        <v>7.84</v>
      </c>
      <c r="H280" s="24">
        <v>8.2899999999999991</v>
      </c>
      <c r="I280" s="24">
        <v>19.05</v>
      </c>
      <c r="J280" s="24">
        <f t="shared" si="23"/>
        <v>60.18</v>
      </c>
      <c r="K280" s="24">
        <v>13.54</v>
      </c>
      <c r="L280" s="25">
        <f t="shared" si="24"/>
        <v>73.72</v>
      </c>
    </row>
    <row r="281" spans="1:12">
      <c r="A281" s="26">
        <v>11</v>
      </c>
      <c r="B281" s="37">
        <v>200842109</v>
      </c>
      <c r="C281" s="52" t="s">
        <v>251</v>
      </c>
      <c r="D281" s="24">
        <v>7.32</v>
      </c>
      <c r="E281" s="24">
        <v>4.6500000000000004</v>
      </c>
      <c r="F281" s="24">
        <v>4.7</v>
      </c>
      <c r="G281" s="24">
        <v>4.1100000000000003</v>
      </c>
      <c r="H281" s="24">
        <v>3.8</v>
      </c>
      <c r="I281" s="24">
        <v>17.75</v>
      </c>
      <c r="J281" s="24">
        <f t="shared" si="23"/>
        <v>42.33</v>
      </c>
      <c r="K281" s="24">
        <v>3.8</v>
      </c>
      <c r="L281" s="25">
        <f t="shared" si="24"/>
        <v>46.129999999999995</v>
      </c>
    </row>
    <row r="282" spans="1:12">
      <c r="A282" s="26">
        <v>12</v>
      </c>
      <c r="B282" s="37">
        <v>200842115</v>
      </c>
      <c r="C282" s="51" t="s">
        <v>253</v>
      </c>
      <c r="D282" s="24">
        <v>7.97</v>
      </c>
      <c r="E282" s="24">
        <v>5.85</v>
      </c>
      <c r="F282" s="24">
        <v>8.1</v>
      </c>
      <c r="G282" s="24">
        <v>6</v>
      </c>
      <c r="H282" s="28">
        <v>4.29</v>
      </c>
      <c r="I282" s="28">
        <v>17.55</v>
      </c>
      <c r="J282" s="24">
        <f t="shared" si="23"/>
        <v>49.76</v>
      </c>
      <c r="K282" s="24">
        <v>11.26</v>
      </c>
      <c r="L282" s="25">
        <f t="shared" si="24"/>
        <v>61.019999999999996</v>
      </c>
    </row>
    <row r="283" spans="1:12">
      <c r="A283" s="26">
        <v>13</v>
      </c>
      <c r="B283" s="37">
        <v>200842125</v>
      </c>
      <c r="C283" s="51" t="s">
        <v>254</v>
      </c>
      <c r="D283" s="24">
        <v>4.47</v>
      </c>
      <c r="E283" s="24">
        <v>4.7300000000000004</v>
      </c>
      <c r="F283" s="24">
        <v>0</v>
      </c>
      <c r="G283" s="24">
        <v>0</v>
      </c>
      <c r="H283" s="28">
        <v>0</v>
      </c>
      <c r="I283" s="28">
        <v>4.25</v>
      </c>
      <c r="J283" s="24">
        <f t="shared" si="23"/>
        <v>13.45</v>
      </c>
      <c r="K283" s="24" t="s">
        <v>475</v>
      </c>
      <c r="L283" s="25">
        <f>+J283</f>
        <v>13.45</v>
      </c>
    </row>
    <row r="284" spans="1:12">
      <c r="A284" s="26">
        <v>14</v>
      </c>
      <c r="B284" s="37">
        <v>200842134</v>
      </c>
      <c r="C284" s="51" t="s">
        <v>255</v>
      </c>
      <c r="D284" s="24">
        <v>3.16</v>
      </c>
      <c r="E284" s="24">
        <v>4.0999999999999996</v>
      </c>
      <c r="F284" s="24">
        <v>2.4</v>
      </c>
      <c r="G284" s="24">
        <v>2.98</v>
      </c>
      <c r="H284" s="28">
        <v>6.4</v>
      </c>
      <c r="I284" s="28">
        <v>18.2</v>
      </c>
      <c r="J284" s="24">
        <f t="shared" si="23"/>
        <v>37.239999999999995</v>
      </c>
      <c r="K284" s="24" t="s">
        <v>475</v>
      </c>
      <c r="L284" s="25">
        <f>+J284</f>
        <v>37.239999999999995</v>
      </c>
    </row>
    <row r="285" spans="1:12">
      <c r="A285" s="23">
        <v>15</v>
      </c>
      <c r="B285" s="37">
        <v>200842447</v>
      </c>
      <c r="C285" s="51" t="s">
        <v>258</v>
      </c>
      <c r="D285" s="24">
        <v>5.8</v>
      </c>
      <c r="E285" s="24">
        <v>5.7</v>
      </c>
      <c r="F285" s="24">
        <v>5.7</v>
      </c>
      <c r="G285" s="24">
        <v>6.44</v>
      </c>
      <c r="H285" s="28">
        <v>4.13</v>
      </c>
      <c r="I285" s="28">
        <v>18.5</v>
      </c>
      <c r="J285" s="24">
        <f t="shared" si="23"/>
        <v>46.27</v>
      </c>
      <c r="K285" s="24">
        <v>10.61</v>
      </c>
      <c r="L285" s="25">
        <f t="shared" si="24"/>
        <v>56.88</v>
      </c>
    </row>
    <row r="286" spans="1:12">
      <c r="A286" s="23">
        <v>16</v>
      </c>
      <c r="B286" s="37">
        <v>200842674</v>
      </c>
      <c r="C286" s="52" t="s">
        <v>259</v>
      </c>
      <c r="D286" s="24">
        <v>8.1300000000000008</v>
      </c>
      <c r="E286" s="24">
        <v>7.98</v>
      </c>
      <c r="F286" s="24">
        <v>7.1</v>
      </c>
      <c r="G286" s="24">
        <v>4.3</v>
      </c>
      <c r="H286" s="24">
        <v>5.53</v>
      </c>
      <c r="I286" s="24">
        <v>18.25</v>
      </c>
      <c r="J286" s="24">
        <f t="shared" si="23"/>
        <v>51.29</v>
      </c>
      <c r="K286" s="24">
        <v>6.6</v>
      </c>
      <c r="L286" s="25">
        <f t="shared" si="24"/>
        <v>57.89</v>
      </c>
    </row>
    <row r="287" spans="1:12">
      <c r="A287" s="23">
        <v>17</v>
      </c>
      <c r="B287" s="70">
        <v>200940321</v>
      </c>
      <c r="C287" s="58" t="s">
        <v>261</v>
      </c>
      <c r="D287" s="24">
        <v>2.38</v>
      </c>
      <c r="E287" s="24">
        <v>2.5</v>
      </c>
      <c r="F287" s="24">
        <v>2.5</v>
      </c>
      <c r="G287" s="24">
        <v>0</v>
      </c>
      <c r="H287" s="24">
        <v>0</v>
      </c>
      <c r="I287" s="24">
        <v>5.4</v>
      </c>
      <c r="J287" s="24">
        <f t="shared" si="23"/>
        <v>12.780000000000001</v>
      </c>
      <c r="K287" s="24" t="s">
        <v>475</v>
      </c>
      <c r="L287" s="25">
        <f>+J287</f>
        <v>12.780000000000001</v>
      </c>
    </row>
    <row r="288" spans="1:12">
      <c r="A288" s="23">
        <v>18</v>
      </c>
      <c r="B288" s="71">
        <v>200940333</v>
      </c>
      <c r="C288" s="72" t="s">
        <v>262</v>
      </c>
      <c r="D288" s="24">
        <v>4.6900000000000004</v>
      </c>
      <c r="E288" s="24">
        <v>10.35</v>
      </c>
      <c r="F288" s="24">
        <v>9.3000000000000007</v>
      </c>
      <c r="G288" s="24">
        <v>7.86</v>
      </c>
      <c r="H288" s="24">
        <v>8.23</v>
      </c>
      <c r="I288" s="24">
        <v>19.5</v>
      </c>
      <c r="J288" s="24">
        <f t="shared" si="23"/>
        <v>59.93</v>
      </c>
      <c r="K288" s="24">
        <v>13.31</v>
      </c>
      <c r="L288" s="25">
        <f t="shared" si="24"/>
        <v>73.239999999999995</v>
      </c>
    </row>
    <row r="289" spans="1:12">
      <c r="A289" s="27">
        <v>19</v>
      </c>
      <c r="B289" s="37">
        <v>200940343</v>
      </c>
      <c r="C289" s="54" t="s">
        <v>263</v>
      </c>
      <c r="D289" s="24">
        <v>6.21</v>
      </c>
      <c r="E289" s="24">
        <v>6.75</v>
      </c>
      <c r="F289" s="24">
        <v>5.7</v>
      </c>
      <c r="G289" s="24">
        <v>5.68</v>
      </c>
      <c r="H289" s="24">
        <v>7.49</v>
      </c>
      <c r="I289" s="24">
        <v>19.5</v>
      </c>
      <c r="J289" s="24">
        <f t="shared" si="23"/>
        <v>51.330000000000005</v>
      </c>
      <c r="K289" s="24">
        <v>12.26</v>
      </c>
      <c r="L289" s="25">
        <f t="shared" si="24"/>
        <v>63.59</v>
      </c>
    </row>
    <row r="290" spans="1:12">
      <c r="A290" s="27">
        <v>20</v>
      </c>
      <c r="B290" s="37">
        <v>200940354</v>
      </c>
      <c r="C290" s="51" t="s">
        <v>264</v>
      </c>
      <c r="D290" s="24">
        <v>3.03</v>
      </c>
      <c r="E290" s="24">
        <v>6.45</v>
      </c>
      <c r="F290" s="24">
        <v>5.9</v>
      </c>
      <c r="G290" s="24">
        <v>4.76</v>
      </c>
      <c r="H290" s="24">
        <v>5.2</v>
      </c>
      <c r="I290" s="24">
        <v>19.05</v>
      </c>
      <c r="J290" s="24">
        <f t="shared" si="23"/>
        <v>44.39</v>
      </c>
      <c r="K290" s="24">
        <v>7.52</v>
      </c>
      <c r="L290" s="25">
        <f t="shared" si="24"/>
        <v>51.91</v>
      </c>
    </row>
    <row r="291" spans="1:12">
      <c r="A291" s="27">
        <v>21</v>
      </c>
      <c r="B291" s="37">
        <v>200940364</v>
      </c>
      <c r="C291" s="52" t="s">
        <v>265</v>
      </c>
      <c r="D291" s="24">
        <v>3.61</v>
      </c>
      <c r="E291" s="24">
        <v>5.6</v>
      </c>
      <c r="F291" s="24">
        <v>5.2</v>
      </c>
      <c r="G291" s="24">
        <v>3.64</v>
      </c>
      <c r="H291" s="24">
        <v>0</v>
      </c>
      <c r="I291" s="24">
        <v>5.25</v>
      </c>
      <c r="J291" s="24">
        <f t="shared" si="23"/>
        <v>23.299999999999997</v>
      </c>
      <c r="K291" s="24" t="s">
        <v>475</v>
      </c>
      <c r="L291" s="25">
        <f>+J291</f>
        <v>23.299999999999997</v>
      </c>
    </row>
    <row r="292" spans="1:12">
      <c r="A292" s="27">
        <v>22</v>
      </c>
      <c r="B292" s="37">
        <v>200940366</v>
      </c>
      <c r="C292" s="51" t="s">
        <v>266</v>
      </c>
      <c r="D292" s="24">
        <v>2.9</v>
      </c>
      <c r="E292" s="24">
        <v>8.65</v>
      </c>
      <c r="F292" s="24">
        <v>6.9</v>
      </c>
      <c r="G292" s="24">
        <v>5.85</v>
      </c>
      <c r="H292" s="24">
        <v>9.66</v>
      </c>
      <c r="I292" s="24">
        <v>19.5</v>
      </c>
      <c r="J292" s="24">
        <f t="shared" si="23"/>
        <v>53.459999999999994</v>
      </c>
      <c r="K292" s="24">
        <v>17.88</v>
      </c>
      <c r="L292" s="25">
        <f t="shared" si="24"/>
        <v>71.339999999999989</v>
      </c>
    </row>
    <row r="293" spans="1:12">
      <c r="A293" s="27">
        <v>23</v>
      </c>
      <c r="B293" s="37">
        <v>200940367</v>
      </c>
      <c r="C293" s="51" t="s">
        <v>267</v>
      </c>
      <c r="D293" s="24">
        <v>5.39</v>
      </c>
      <c r="E293" s="24">
        <v>9.5500000000000007</v>
      </c>
      <c r="F293" s="24">
        <v>6.8</v>
      </c>
      <c r="G293" s="24">
        <v>6.03</v>
      </c>
      <c r="H293" s="24">
        <v>6.56</v>
      </c>
      <c r="I293" s="24">
        <v>19.5</v>
      </c>
      <c r="J293" s="24">
        <f t="shared" si="23"/>
        <v>53.83</v>
      </c>
      <c r="K293" s="24">
        <v>9.4600000000000009</v>
      </c>
      <c r="L293" s="25">
        <f t="shared" si="24"/>
        <v>63.29</v>
      </c>
    </row>
    <row r="294" spans="1:12">
      <c r="A294" s="27">
        <v>24</v>
      </c>
      <c r="B294" s="37">
        <v>200940368</v>
      </c>
      <c r="C294" s="51" t="s">
        <v>268</v>
      </c>
      <c r="D294" s="24">
        <v>9.16</v>
      </c>
      <c r="E294" s="24">
        <v>7.35</v>
      </c>
      <c r="F294" s="24">
        <v>9</v>
      </c>
      <c r="G294" s="24">
        <v>6.93</v>
      </c>
      <c r="H294" s="24">
        <v>9.33</v>
      </c>
      <c r="I294" s="24">
        <v>19.5</v>
      </c>
      <c r="J294" s="24">
        <f t="shared" si="23"/>
        <v>61.269999999999996</v>
      </c>
      <c r="K294" s="24">
        <v>13.76</v>
      </c>
      <c r="L294" s="25">
        <f t="shared" si="24"/>
        <v>75.03</v>
      </c>
    </row>
    <row r="295" spans="1:12">
      <c r="A295" s="27">
        <v>25</v>
      </c>
      <c r="B295" s="37">
        <v>200940370</v>
      </c>
      <c r="C295" s="54" t="s">
        <v>269</v>
      </c>
      <c r="D295" s="24">
        <v>2.85</v>
      </c>
      <c r="E295" s="24">
        <v>6.05</v>
      </c>
      <c r="F295" s="24">
        <v>8.5</v>
      </c>
      <c r="G295" s="24">
        <v>5.13</v>
      </c>
      <c r="H295" s="24">
        <v>4.2699999999999996</v>
      </c>
      <c r="I295" s="24">
        <v>19.149999999999999</v>
      </c>
      <c r="J295" s="24">
        <f t="shared" si="23"/>
        <v>45.949999999999996</v>
      </c>
      <c r="K295" s="24">
        <v>9.7799999999999994</v>
      </c>
      <c r="L295" s="25">
        <f t="shared" si="24"/>
        <v>55.73</v>
      </c>
    </row>
    <row r="296" spans="1:12">
      <c r="A296" s="27">
        <v>26</v>
      </c>
      <c r="B296" s="40">
        <v>200940431</v>
      </c>
      <c r="C296" s="52" t="s">
        <v>270</v>
      </c>
      <c r="D296" s="24">
        <v>3.32</v>
      </c>
      <c r="E296" s="24">
        <v>7.81</v>
      </c>
      <c r="F296" s="24">
        <v>5.6</v>
      </c>
      <c r="G296" s="24">
        <v>5</v>
      </c>
      <c r="H296" s="24">
        <v>8.3000000000000007</v>
      </c>
      <c r="I296" s="24">
        <v>19</v>
      </c>
      <c r="J296" s="24">
        <f t="shared" si="23"/>
        <v>49.03</v>
      </c>
      <c r="K296" s="24">
        <v>16.25</v>
      </c>
      <c r="L296" s="25">
        <f t="shared" si="24"/>
        <v>65.28</v>
      </c>
    </row>
    <row r="297" spans="1:12">
      <c r="A297" s="27">
        <v>27</v>
      </c>
      <c r="B297" s="37">
        <v>200940435</v>
      </c>
      <c r="C297" s="52" t="s">
        <v>271</v>
      </c>
      <c r="D297" s="24">
        <v>4.16</v>
      </c>
      <c r="E297" s="24">
        <v>4.78</v>
      </c>
      <c r="F297" s="24">
        <v>3.1</v>
      </c>
      <c r="G297" s="24">
        <v>3.13</v>
      </c>
      <c r="H297" s="24">
        <v>6.16</v>
      </c>
      <c r="I297" s="24">
        <v>19.670000000000002</v>
      </c>
      <c r="J297" s="24">
        <f t="shared" si="23"/>
        <v>41</v>
      </c>
      <c r="K297" s="24">
        <v>10.27</v>
      </c>
      <c r="L297" s="25">
        <f>+K297+J297</f>
        <v>51.269999999999996</v>
      </c>
    </row>
    <row r="298" spans="1:12">
      <c r="A298" s="27">
        <v>28</v>
      </c>
      <c r="B298" s="40">
        <v>200940488</v>
      </c>
      <c r="C298" s="52" t="s">
        <v>272</v>
      </c>
      <c r="D298" s="24">
        <v>3.03</v>
      </c>
      <c r="E298" s="24">
        <v>5.75</v>
      </c>
      <c r="F298" s="24">
        <v>5.73</v>
      </c>
      <c r="G298" s="24">
        <v>4.32</v>
      </c>
      <c r="H298" s="24">
        <v>5.93</v>
      </c>
      <c r="I298" s="24">
        <v>19.2</v>
      </c>
      <c r="J298" s="24">
        <f t="shared" si="23"/>
        <v>43.96</v>
      </c>
      <c r="K298" s="24">
        <v>13.07</v>
      </c>
      <c r="L298" s="25">
        <f t="shared" si="24"/>
        <v>57.03</v>
      </c>
    </row>
    <row r="299" spans="1:12">
      <c r="A299" s="27">
        <v>29</v>
      </c>
      <c r="B299" s="40">
        <v>200940494</v>
      </c>
      <c r="C299" s="52" t="s">
        <v>273</v>
      </c>
      <c r="D299" s="24">
        <v>8.31</v>
      </c>
      <c r="E299" s="24">
        <v>9.01</v>
      </c>
      <c r="F299" s="24">
        <v>11.2</v>
      </c>
      <c r="G299" s="24">
        <v>6.31</v>
      </c>
      <c r="H299" s="24">
        <v>8.3800000000000008</v>
      </c>
      <c r="I299" s="24">
        <v>19.5</v>
      </c>
      <c r="J299" s="24">
        <f t="shared" si="23"/>
        <v>62.71</v>
      </c>
      <c r="K299" s="24">
        <v>14.24</v>
      </c>
      <c r="L299" s="25">
        <f t="shared" si="24"/>
        <v>76.95</v>
      </c>
    </row>
    <row r="300" spans="1:12">
      <c r="A300" s="27">
        <v>30</v>
      </c>
      <c r="B300" s="37">
        <v>200940495</v>
      </c>
      <c r="C300" s="51" t="s">
        <v>274</v>
      </c>
      <c r="D300" s="24">
        <v>3.48</v>
      </c>
      <c r="E300" s="24">
        <v>5.8</v>
      </c>
      <c r="F300" s="24">
        <v>3.1</v>
      </c>
      <c r="G300" s="24">
        <v>0</v>
      </c>
      <c r="H300" s="24">
        <v>0</v>
      </c>
      <c r="I300" s="24">
        <v>4.75</v>
      </c>
      <c r="J300" s="24">
        <f t="shared" si="23"/>
        <v>17.13</v>
      </c>
      <c r="K300" s="24" t="s">
        <v>475</v>
      </c>
      <c r="L300" s="25">
        <f>+J300</f>
        <v>17.13</v>
      </c>
    </row>
    <row r="301" spans="1:12">
      <c r="A301" s="27">
        <v>31</v>
      </c>
      <c r="B301" s="40">
        <v>200940497</v>
      </c>
      <c r="C301" s="51" t="s">
        <v>275</v>
      </c>
      <c r="D301" s="24">
        <v>3.66</v>
      </c>
      <c r="E301" s="24">
        <v>2.5</v>
      </c>
      <c r="F301" s="24">
        <v>2.1</v>
      </c>
      <c r="G301" s="24">
        <v>0</v>
      </c>
      <c r="H301" s="24">
        <v>0</v>
      </c>
      <c r="I301" s="24">
        <v>4.25</v>
      </c>
      <c r="J301" s="24">
        <f t="shared" si="23"/>
        <v>12.51</v>
      </c>
      <c r="K301" s="24" t="s">
        <v>475</v>
      </c>
      <c r="L301" s="25">
        <f>+J301</f>
        <v>12.51</v>
      </c>
    </row>
    <row r="302" spans="1:12">
      <c r="A302" s="27">
        <v>32</v>
      </c>
      <c r="B302" s="37">
        <v>200940507</v>
      </c>
      <c r="C302" s="54" t="s">
        <v>276</v>
      </c>
      <c r="D302" s="24">
        <v>5.73</v>
      </c>
      <c r="E302" s="24">
        <v>8.4</v>
      </c>
      <c r="F302" s="24">
        <v>7.03</v>
      </c>
      <c r="G302" s="24">
        <v>7.89</v>
      </c>
      <c r="H302" s="24">
        <v>6.4</v>
      </c>
      <c r="I302" s="24">
        <v>19.5</v>
      </c>
      <c r="J302" s="24">
        <f t="shared" si="23"/>
        <v>54.95</v>
      </c>
      <c r="K302" s="24">
        <v>16.16</v>
      </c>
      <c r="L302" s="25">
        <f t="shared" si="24"/>
        <v>71.11</v>
      </c>
    </row>
    <row r="303" spans="1:12">
      <c r="A303" s="27">
        <v>33</v>
      </c>
      <c r="B303" s="37">
        <v>200940508</v>
      </c>
      <c r="C303" s="52" t="s">
        <v>277</v>
      </c>
      <c r="D303" s="24">
        <v>3.76</v>
      </c>
      <c r="E303" s="24">
        <v>6.35</v>
      </c>
      <c r="F303" s="24">
        <v>3.5</v>
      </c>
      <c r="G303" s="24">
        <v>5.21</v>
      </c>
      <c r="H303" s="24">
        <v>4.76</v>
      </c>
      <c r="I303" s="24">
        <v>19.25</v>
      </c>
      <c r="J303" s="24">
        <f t="shared" si="23"/>
        <v>42.83</v>
      </c>
      <c r="K303" s="24">
        <v>15.67</v>
      </c>
      <c r="L303" s="25">
        <f t="shared" si="24"/>
        <v>58.5</v>
      </c>
    </row>
    <row r="304" spans="1:12">
      <c r="A304" s="27">
        <v>34</v>
      </c>
      <c r="B304" s="37">
        <v>200940529</v>
      </c>
      <c r="C304" s="51" t="s">
        <v>278</v>
      </c>
      <c r="D304" s="24">
        <v>6.19</v>
      </c>
      <c r="E304" s="24">
        <v>8.83</v>
      </c>
      <c r="F304" s="24">
        <v>10.4</v>
      </c>
      <c r="G304" s="24">
        <v>8.4700000000000006</v>
      </c>
      <c r="H304" s="24">
        <v>8.43</v>
      </c>
      <c r="I304" s="24">
        <v>19.5</v>
      </c>
      <c r="J304" s="24">
        <f t="shared" si="23"/>
        <v>61.819999999999993</v>
      </c>
      <c r="K304" s="24">
        <v>13.94</v>
      </c>
      <c r="L304" s="25">
        <f t="shared" si="24"/>
        <v>75.759999999999991</v>
      </c>
    </row>
    <row r="305" spans="1:12">
      <c r="A305" s="27">
        <v>35</v>
      </c>
      <c r="B305" s="37">
        <v>200940533</v>
      </c>
      <c r="C305" s="51" t="s">
        <v>279</v>
      </c>
      <c r="D305" s="24">
        <v>2.4300000000000002</v>
      </c>
      <c r="E305" s="24">
        <v>1.8</v>
      </c>
      <c r="F305" s="24">
        <v>0</v>
      </c>
      <c r="G305" s="24">
        <v>0</v>
      </c>
      <c r="H305" s="24">
        <v>0</v>
      </c>
      <c r="I305" s="24">
        <v>3.75</v>
      </c>
      <c r="J305" s="24">
        <f t="shared" si="23"/>
        <v>7.98</v>
      </c>
      <c r="K305" s="24" t="s">
        <v>475</v>
      </c>
      <c r="L305" s="25">
        <f>+J305</f>
        <v>7.98</v>
      </c>
    </row>
    <row r="306" spans="1:12">
      <c r="A306" s="27">
        <v>36</v>
      </c>
      <c r="B306" s="40">
        <v>200941310</v>
      </c>
      <c r="C306" s="51" t="s">
        <v>280</v>
      </c>
      <c r="D306" s="24">
        <v>3.2</v>
      </c>
      <c r="E306" s="24">
        <v>3.83</v>
      </c>
      <c r="F306" s="24">
        <v>2.1800000000000002</v>
      </c>
      <c r="G306" s="24">
        <v>3.12</v>
      </c>
      <c r="H306" s="24">
        <v>4.93</v>
      </c>
      <c r="I306" s="24">
        <v>19.5</v>
      </c>
      <c r="J306" s="24">
        <f t="shared" si="23"/>
        <v>36.760000000000005</v>
      </c>
      <c r="K306" s="24" t="s">
        <v>475</v>
      </c>
      <c r="L306" s="25">
        <f t="shared" ref="L306:L307" si="26">+J306</f>
        <v>36.760000000000005</v>
      </c>
    </row>
    <row r="307" spans="1:12">
      <c r="A307" s="27">
        <v>37</v>
      </c>
      <c r="B307" s="37">
        <v>200941429</v>
      </c>
      <c r="C307" s="51" t="s">
        <v>281</v>
      </c>
      <c r="D307" s="24">
        <v>5.66</v>
      </c>
      <c r="E307" s="24">
        <v>4.8499999999999996</v>
      </c>
      <c r="F307" s="24">
        <v>4.2</v>
      </c>
      <c r="G307" s="24">
        <v>4.42</v>
      </c>
      <c r="H307" s="24">
        <v>0</v>
      </c>
      <c r="I307" s="24">
        <v>4</v>
      </c>
      <c r="J307" s="24">
        <f t="shared" si="23"/>
        <v>23.13</v>
      </c>
      <c r="K307" s="24" t="s">
        <v>475</v>
      </c>
      <c r="L307" s="25">
        <f t="shared" si="26"/>
        <v>23.13</v>
      </c>
    </row>
    <row r="308" spans="1:12">
      <c r="A308" s="27">
        <v>38</v>
      </c>
      <c r="B308" s="37">
        <v>200941431</v>
      </c>
      <c r="C308" s="51" t="s">
        <v>282</v>
      </c>
      <c r="D308" s="24">
        <v>3.46</v>
      </c>
      <c r="E308" s="24">
        <v>6.41</v>
      </c>
      <c r="F308" s="24">
        <v>6.3</v>
      </c>
      <c r="G308" s="24">
        <v>5.71</v>
      </c>
      <c r="H308" s="24">
        <v>5.2</v>
      </c>
      <c r="I308" s="24">
        <v>17.5</v>
      </c>
      <c r="J308" s="24">
        <f t="shared" si="23"/>
        <v>44.580000000000005</v>
      </c>
      <c r="K308" s="24">
        <v>3.2</v>
      </c>
      <c r="L308" s="25">
        <f t="shared" si="24"/>
        <v>47.780000000000008</v>
      </c>
    </row>
    <row r="309" spans="1:12">
      <c r="A309" s="27">
        <v>39</v>
      </c>
      <c r="B309" s="37">
        <v>200942148</v>
      </c>
      <c r="C309" s="52" t="s">
        <v>283</v>
      </c>
      <c r="D309" s="24">
        <v>6.81</v>
      </c>
      <c r="E309" s="24">
        <v>7.32</v>
      </c>
      <c r="F309" s="24">
        <v>6.18</v>
      </c>
      <c r="G309" s="24">
        <v>7.42</v>
      </c>
      <c r="H309" s="24">
        <v>4.5</v>
      </c>
      <c r="I309" s="24">
        <v>18.25</v>
      </c>
      <c r="J309" s="24">
        <f t="shared" si="23"/>
        <v>50.480000000000004</v>
      </c>
      <c r="K309" s="24">
        <v>10.52</v>
      </c>
      <c r="L309" s="25">
        <f t="shared" si="24"/>
        <v>61</v>
      </c>
    </row>
    <row r="310" spans="1:12">
      <c r="A310" s="27">
        <v>40</v>
      </c>
      <c r="B310" s="37">
        <v>200942756</v>
      </c>
      <c r="C310" s="51" t="s">
        <v>284</v>
      </c>
      <c r="D310" s="24">
        <v>2.0699999999999998</v>
      </c>
      <c r="E310" s="24">
        <v>2.2000000000000002</v>
      </c>
      <c r="F310" s="24">
        <f>G310</f>
        <v>0</v>
      </c>
      <c r="G310" s="24">
        <v>0</v>
      </c>
      <c r="H310" s="24">
        <v>0</v>
      </c>
      <c r="I310" s="24">
        <v>4.75</v>
      </c>
      <c r="J310" s="24">
        <f t="shared" si="23"/>
        <v>9.02</v>
      </c>
      <c r="K310" s="24" t="s">
        <v>475</v>
      </c>
      <c r="L310" s="25">
        <f>+J310</f>
        <v>9.02</v>
      </c>
    </row>
    <row r="311" spans="1:12">
      <c r="A311" s="27">
        <v>41</v>
      </c>
      <c r="B311" s="40">
        <v>200942839</v>
      </c>
      <c r="C311" s="54" t="s">
        <v>285</v>
      </c>
      <c r="D311" s="24">
        <v>3.42</v>
      </c>
      <c r="E311" s="24">
        <v>4.8</v>
      </c>
      <c r="F311" s="24">
        <v>4.2</v>
      </c>
      <c r="G311" s="24">
        <v>5.3</v>
      </c>
      <c r="H311" s="24">
        <v>6.07</v>
      </c>
      <c r="I311" s="24">
        <v>18</v>
      </c>
      <c r="J311" s="24">
        <f t="shared" si="23"/>
        <v>41.79</v>
      </c>
      <c r="K311" s="24">
        <v>5.35</v>
      </c>
      <c r="L311" s="25">
        <f t="shared" si="24"/>
        <v>47.14</v>
      </c>
    </row>
    <row r="312" spans="1:12">
      <c r="A312" s="27">
        <v>42</v>
      </c>
      <c r="B312" s="37">
        <v>200942841</v>
      </c>
      <c r="C312" s="51" t="s">
        <v>286</v>
      </c>
      <c r="D312" s="24">
        <v>3.69</v>
      </c>
      <c r="E312" s="24">
        <v>7.75</v>
      </c>
      <c r="F312" s="24">
        <v>6</v>
      </c>
      <c r="G312" s="24">
        <v>5.08</v>
      </c>
      <c r="H312" s="24">
        <v>4.7</v>
      </c>
      <c r="I312" s="24">
        <v>19.25</v>
      </c>
      <c r="J312" s="24">
        <f t="shared" si="23"/>
        <v>46.47</v>
      </c>
      <c r="K312" s="24">
        <v>8.98</v>
      </c>
      <c r="L312" s="25">
        <f t="shared" si="24"/>
        <v>55.45</v>
      </c>
    </row>
    <row r="313" spans="1:12">
      <c r="A313" s="27">
        <v>43</v>
      </c>
      <c r="B313" s="37">
        <v>200943124</v>
      </c>
      <c r="C313" s="51" t="s">
        <v>364</v>
      </c>
      <c r="D313" s="24">
        <v>9.35</v>
      </c>
      <c r="E313" s="24">
        <v>9.35</v>
      </c>
      <c r="F313" s="24">
        <v>4.3</v>
      </c>
      <c r="G313" s="24">
        <v>4.01</v>
      </c>
      <c r="H313" s="24">
        <v>7.76</v>
      </c>
      <c r="I313" s="24">
        <v>18.5</v>
      </c>
      <c r="J313" s="24">
        <f t="shared" si="23"/>
        <v>53.269999999999996</v>
      </c>
      <c r="K313" s="24">
        <v>9.36</v>
      </c>
      <c r="L313" s="25">
        <f t="shared" si="24"/>
        <v>62.629999999999995</v>
      </c>
    </row>
    <row r="314" spans="1:12">
      <c r="A314" s="27">
        <v>44</v>
      </c>
      <c r="B314" s="37">
        <v>200943129</v>
      </c>
      <c r="C314" s="53" t="s">
        <v>287</v>
      </c>
      <c r="D314" s="24">
        <v>2.5</v>
      </c>
      <c r="E314" s="24">
        <v>1.6</v>
      </c>
      <c r="F314" s="24">
        <v>9.5299999999999994</v>
      </c>
      <c r="G314" s="24">
        <v>0</v>
      </c>
      <c r="H314" s="24">
        <v>0</v>
      </c>
      <c r="I314" s="24">
        <v>4</v>
      </c>
      <c r="J314" s="24">
        <f t="shared" si="23"/>
        <v>17.63</v>
      </c>
      <c r="K314" s="24" t="s">
        <v>475</v>
      </c>
      <c r="L314" s="25">
        <f>+J314</f>
        <v>17.63</v>
      </c>
    </row>
    <row r="315" spans="1:12">
      <c r="A315" s="27">
        <v>45</v>
      </c>
      <c r="B315" s="37">
        <v>200943311</v>
      </c>
      <c r="C315" s="51" t="s">
        <v>288</v>
      </c>
      <c r="D315" s="62">
        <v>3.88</v>
      </c>
      <c r="E315" s="24">
        <v>5.33</v>
      </c>
      <c r="F315" s="24">
        <v>6.4</v>
      </c>
      <c r="G315" s="24">
        <v>3.81</v>
      </c>
      <c r="H315" s="24">
        <v>7.67</v>
      </c>
      <c r="I315" s="24">
        <v>17.75</v>
      </c>
      <c r="J315" s="24">
        <f t="shared" si="23"/>
        <v>44.84</v>
      </c>
      <c r="K315" s="24">
        <v>17.37</v>
      </c>
      <c r="L315" s="25">
        <f t="shared" si="24"/>
        <v>62.210000000000008</v>
      </c>
    </row>
    <row r="316" spans="1:12">
      <c r="A316" s="27">
        <v>46</v>
      </c>
      <c r="B316" s="37">
        <v>200943324</v>
      </c>
      <c r="C316" s="56" t="s">
        <v>289</v>
      </c>
      <c r="D316" s="24">
        <v>3.49</v>
      </c>
      <c r="E316" s="24">
        <v>7</v>
      </c>
      <c r="F316" s="24">
        <v>4.5</v>
      </c>
      <c r="G316" s="24">
        <v>4.2300000000000004</v>
      </c>
      <c r="H316" s="24">
        <v>6.23</v>
      </c>
      <c r="I316" s="24">
        <v>15.5</v>
      </c>
      <c r="J316" s="24">
        <f t="shared" si="23"/>
        <v>40.950000000000003</v>
      </c>
      <c r="K316" s="24" t="s">
        <v>475</v>
      </c>
      <c r="L316" s="25">
        <f>+J316</f>
        <v>40.950000000000003</v>
      </c>
    </row>
    <row r="317" spans="1:12">
      <c r="A317" s="27">
        <v>47</v>
      </c>
      <c r="B317" s="37">
        <v>200943328</v>
      </c>
      <c r="C317" s="56" t="s">
        <v>290</v>
      </c>
      <c r="D317" s="24">
        <v>2.62</v>
      </c>
      <c r="E317" s="24">
        <v>1</v>
      </c>
      <c r="F317" s="24">
        <v>3.7</v>
      </c>
      <c r="G317" s="24">
        <v>2.36</v>
      </c>
      <c r="H317" s="24">
        <v>0</v>
      </c>
      <c r="I317" s="24">
        <v>7.25</v>
      </c>
      <c r="J317" s="24">
        <f t="shared" si="23"/>
        <v>16.93</v>
      </c>
      <c r="K317" s="24" t="s">
        <v>475</v>
      </c>
      <c r="L317" s="25">
        <f>+J317</f>
        <v>16.93</v>
      </c>
    </row>
    <row r="318" spans="1:12">
      <c r="A318" s="27">
        <v>48</v>
      </c>
      <c r="B318" s="45">
        <v>200943367</v>
      </c>
      <c r="C318" s="56" t="s">
        <v>291</v>
      </c>
      <c r="D318" s="24">
        <v>6.2</v>
      </c>
      <c r="E318" s="24">
        <v>5.4</v>
      </c>
      <c r="F318" s="24">
        <v>2.8</v>
      </c>
      <c r="G318" s="24">
        <v>5.59</v>
      </c>
      <c r="H318" s="24">
        <v>5.45</v>
      </c>
      <c r="I318" s="24">
        <v>18.75</v>
      </c>
      <c r="J318" s="24">
        <f t="shared" si="23"/>
        <v>44.19</v>
      </c>
      <c r="K318" s="24">
        <v>7.49</v>
      </c>
      <c r="L318" s="25">
        <f t="shared" ref="L318:L325" si="27">+K318+J318</f>
        <v>51.68</v>
      </c>
    </row>
    <row r="319" spans="1:12">
      <c r="A319" s="27">
        <v>49</v>
      </c>
      <c r="B319" s="45">
        <v>200943515</v>
      </c>
      <c r="C319" s="58" t="s">
        <v>292</v>
      </c>
      <c r="D319" s="24">
        <v>7.64</v>
      </c>
      <c r="E319" s="24">
        <v>7.4</v>
      </c>
      <c r="F319" s="24">
        <v>7.73</v>
      </c>
      <c r="G319" s="24">
        <v>4.97</v>
      </c>
      <c r="H319" s="24">
        <v>7.83</v>
      </c>
      <c r="I319" s="24">
        <v>19</v>
      </c>
      <c r="J319" s="24">
        <f t="shared" si="23"/>
        <v>54.57</v>
      </c>
      <c r="K319" s="24">
        <v>11.05</v>
      </c>
      <c r="L319" s="25">
        <f t="shared" si="27"/>
        <v>65.62</v>
      </c>
    </row>
    <row r="320" spans="1:12">
      <c r="A320" s="27">
        <v>50</v>
      </c>
      <c r="B320" s="45">
        <v>200943644</v>
      </c>
      <c r="C320" s="58" t="s">
        <v>293</v>
      </c>
      <c r="D320" s="24">
        <v>2.9</v>
      </c>
      <c r="E320" s="24">
        <v>8.9</v>
      </c>
      <c r="F320" s="24">
        <v>4.5999999999999996</v>
      </c>
      <c r="G320" s="24">
        <v>0</v>
      </c>
      <c r="H320" s="24">
        <v>0</v>
      </c>
      <c r="I320" s="24">
        <v>5</v>
      </c>
      <c r="J320" s="24">
        <f t="shared" si="23"/>
        <v>21.4</v>
      </c>
      <c r="K320" s="24" t="s">
        <v>475</v>
      </c>
      <c r="L320" s="25">
        <f>+J320</f>
        <v>21.4</v>
      </c>
    </row>
    <row r="321" spans="1:12">
      <c r="A321" s="27">
        <v>51</v>
      </c>
      <c r="B321" s="45">
        <v>200943647</v>
      </c>
      <c r="C321" s="56" t="s">
        <v>294</v>
      </c>
      <c r="D321" s="24">
        <v>3.48</v>
      </c>
      <c r="E321" s="24">
        <v>5.08</v>
      </c>
      <c r="F321" s="24">
        <v>5.4</v>
      </c>
      <c r="G321" s="24">
        <v>0</v>
      </c>
      <c r="H321" s="24">
        <v>0</v>
      </c>
      <c r="I321" s="24">
        <v>6</v>
      </c>
      <c r="J321" s="24">
        <f t="shared" si="23"/>
        <v>19.96</v>
      </c>
      <c r="K321" s="24" t="s">
        <v>475</v>
      </c>
      <c r="L321" s="25">
        <f t="shared" ref="L321:L322" si="28">+J321</f>
        <v>19.96</v>
      </c>
    </row>
    <row r="322" spans="1:12">
      <c r="A322" s="27">
        <v>52</v>
      </c>
      <c r="B322" s="45">
        <v>200943674</v>
      </c>
      <c r="C322" s="59" t="s">
        <v>295</v>
      </c>
      <c r="D322" s="24">
        <v>2.91</v>
      </c>
      <c r="E322" s="24">
        <v>2.1</v>
      </c>
      <c r="F322" s="24">
        <v>1.9</v>
      </c>
      <c r="G322" s="24">
        <v>0</v>
      </c>
      <c r="H322" s="24">
        <v>0</v>
      </c>
      <c r="I322" s="24">
        <v>4.75</v>
      </c>
      <c r="J322" s="24">
        <f t="shared" si="23"/>
        <v>11.66</v>
      </c>
      <c r="K322" s="24" t="s">
        <v>475</v>
      </c>
      <c r="L322" s="25">
        <f t="shared" si="28"/>
        <v>11.66</v>
      </c>
    </row>
    <row r="323" spans="1:12">
      <c r="A323" s="27">
        <v>53</v>
      </c>
      <c r="B323" s="57">
        <v>200944408</v>
      </c>
      <c r="C323" s="52" t="s">
        <v>296</v>
      </c>
      <c r="D323" s="24">
        <v>4.33</v>
      </c>
      <c r="E323" s="24">
        <v>3.8</v>
      </c>
      <c r="F323" s="24">
        <v>8.8000000000000007</v>
      </c>
      <c r="G323" s="24">
        <v>5.27</v>
      </c>
      <c r="H323" s="24">
        <v>5</v>
      </c>
      <c r="I323" s="24">
        <v>19</v>
      </c>
      <c r="J323" s="24">
        <f t="shared" si="23"/>
        <v>46.199999999999996</v>
      </c>
      <c r="K323" s="24">
        <v>9.52</v>
      </c>
      <c r="L323" s="25">
        <f t="shared" si="27"/>
        <v>55.72</v>
      </c>
    </row>
    <row r="324" spans="1:12">
      <c r="A324" s="27">
        <v>54</v>
      </c>
      <c r="B324" s="57">
        <v>200945537</v>
      </c>
      <c r="C324" s="52" t="s">
        <v>297</v>
      </c>
      <c r="D324" s="24">
        <v>3.08</v>
      </c>
      <c r="E324" s="24">
        <v>0</v>
      </c>
      <c r="F324" s="24">
        <v>0</v>
      </c>
      <c r="G324" s="24">
        <v>0</v>
      </c>
      <c r="H324" s="24">
        <v>0</v>
      </c>
      <c r="I324" s="24">
        <v>2</v>
      </c>
      <c r="J324" s="24">
        <f t="shared" si="23"/>
        <v>5.08</v>
      </c>
      <c r="K324" s="24" t="s">
        <v>475</v>
      </c>
      <c r="L324" s="25">
        <f>+J324</f>
        <v>5.08</v>
      </c>
    </row>
    <row r="325" spans="1:12">
      <c r="A325" s="27">
        <v>55</v>
      </c>
      <c r="B325" s="57">
        <v>200946029</v>
      </c>
      <c r="C325" s="52" t="s">
        <v>298</v>
      </c>
      <c r="D325" s="24">
        <v>4.78</v>
      </c>
      <c r="E325" s="24">
        <v>6.53</v>
      </c>
      <c r="F325" s="24">
        <v>5.4</v>
      </c>
      <c r="G325" s="24">
        <v>5.85</v>
      </c>
      <c r="H325" s="24">
        <v>5.8</v>
      </c>
      <c r="I325" s="24">
        <v>17</v>
      </c>
      <c r="J325" s="24">
        <f t="shared" si="23"/>
        <v>45.36</v>
      </c>
      <c r="K325" s="24">
        <v>12.1</v>
      </c>
      <c r="L325" s="25">
        <f t="shared" si="27"/>
        <v>57.46</v>
      </c>
    </row>
    <row r="326" spans="1:12">
      <c r="A326" s="27">
        <v>56</v>
      </c>
      <c r="B326" s="45">
        <v>200946037</v>
      </c>
      <c r="C326" s="52" t="s">
        <v>299</v>
      </c>
      <c r="D326" s="24">
        <v>5.0199999999999996</v>
      </c>
      <c r="E326" s="24">
        <v>6.2</v>
      </c>
      <c r="F326" s="24">
        <v>3.3</v>
      </c>
      <c r="G326" s="24">
        <v>3.89</v>
      </c>
      <c r="H326" s="24">
        <v>0</v>
      </c>
      <c r="I326" s="24">
        <v>8.75</v>
      </c>
      <c r="J326" s="24">
        <f t="shared" si="23"/>
        <v>27.16</v>
      </c>
      <c r="K326" s="24" t="s">
        <v>475</v>
      </c>
      <c r="L326" s="25">
        <f>+J326</f>
        <v>27.16</v>
      </c>
    </row>
    <row r="327" spans="1:12">
      <c r="A327" s="29"/>
      <c r="B327" s="29"/>
      <c r="C327" s="30"/>
      <c r="D327" s="31"/>
      <c r="E327" s="31"/>
      <c r="F327" s="31"/>
      <c r="G327" s="31"/>
      <c r="H327" s="31"/>
      <c r="I327" s="31"/>
      <c r="J327" s="31"/>
    </row>
    <row r="328" spans="1:12">
      <c r="A328" s="29"/>
      <c r="B328" s="29"/>
      <c r="C328" s="30"/>
      <c r="D328" s="31"/>
      <c r="E328" s="31"/>
      <c r="F328" s="31"/>
      <c r="G328" s="31"/>
      <c r="H328" s="31"/>
      <c r="I328" s="31"/>
      <c r="J328" s="31"/>
    </row>
    <row r="329" spans="1:12" ht="17.25" thickBot="1">
      <c r="A329" s="33"/>
      <c r="B329" s="33"/>
      <c r="C329" s="34"/>
      <c r="D329" s="31"/>
      <c r="E329" s="31"/>
      <c r="F329" s="31"/>
      <c r="G329" s="31"/>
      <c r="H329" s="35"/>
      <c r="I329" s="35"/>
      <c r="J329" s="35"/>
    </row>
    <row r="330" spans="1:12">
      <c r="H330" s="100" t="s">
        <v>429</v>
      </c>
      <c r="I330" s="100"/>
      <c r="J330" s="100"/>
    </row>
    <row r="331" spans="1:12">
      <c r="D331" s="36"/>
      <c r="H331" s="100" t="s">
        <v>430</v>
      </c>
      <c r="I331" s="100"/>
      <c r="J331" s="100"/>
    </row>
    <row r="332" spans="1:12">
      <c r="D332" s="36"/>
      <c r="H332" s="100" t="s">
        <v>431</v>
      </c>
      <c r="I332" s="100"/>
      <c r="J332" s="100"/>
    </row>
    <row r="345" spans="1:9" ht="17.25" thickBot="1">
      <c r="A345" s="1" t="s">
        <v>0</v>
      </c>
      <c r="I345" s="3"/>
    </row>
    <row r="346" spans="1:9">
      <c r="A346" s="1" t="s">
        <v>1</v>
      </c>
      <c r="F346" s="4"/>
      <c r="G346" s="5"/>
      <c r="H346" s="6"/>
      <c r="I346" s="7"/>
    </row>
    <row r="347" spans="1:9">
      <c r="A347" s="8" t="s">
        <v>2</v>
      </c>
      <c r="B347" s="9"/>
      <c r="E347" s="7"/>
      <c r="F347" s="10"/>
      <c r="G347" s="11"/>
      <c r="H347" s="12"/>
      <c r="I347" s="7"/>
    </row>
    <row r="348" spans="1:9" ht="17.25" thickBot="1">
      <c r="A348" s="13" t="s">
        <v>3</v>
      </c>
      <c r="B348" s="9"/>
      <c r="E348" s="7"/>
      <c r="F348" s="10"/>
      <c r="G348" s="11"/>
      <c r="H348" s="12"/>
      <c r="I348" s="7"/>
    </row>
    <row r="349" spans="1:9" ht="17.25" thickBot="1">
      <c r="A349" s="14" t="s">
        <v>22</v>
      </c>
      <c r="B349" s="15"/>
      <c r="C349" s="16"/>
      <c r="E349" s="7"/>
      <c r="F349" s="17"/>
      <c r="G349" s="18"/>
      <c r="H349" s="19"/>
      <c r="I349" s="7"/>
    </row>
    <row r="350" spans="1:9">
      <c r="A350" s="8"/>
      <c r="B350" s="9"/>
      <c r="E350" s="7"/>
      <c r="I350" s="3"/>
    </row>
    <row r="351" spans="1:9">
      <c r="A351" s="1" t="s">
        <v>91</v>
      </c>
      <c r="B351" s="9"/>
      <c r="C351" s="20" t="s">
        <v>365</v>
      </c>
      <c r="E351" s="7"/>
      <c r="I351" s="3"/>
    </row>
    <row r="352" spans="1:9">
      <c r="A352" s="1" t="s">
        <v>4</v>
      </c>
      <c r="C352" s="20" t="s">
        <v>426</v>
      </c>
      <c r="I352" s="3"/>
    </row>
    <row r="353" spans="1:12">
      <c r="A353" s="1" t="s">
        <v>5</v>
      </c>
      <c r="C353" s="20" t="s">
        <v>433</v>
      </c>
    </row>
    <row r="354" spans="1:12">
      <c r="A354" s="21"/>
      <c r="B354" s="21"/>
      <c r="C354" s="21"/>
      <c r="D354" s="21"/>
      <c r="E354" s="21"/>
      <c r="F354" s="21"/>
      <c r="G354" s="21"/>
      <c r="H354" s="21"/>
      <c r="I354" s="21"/>
      <c r="J354" s="21"/>
    </row>
    <row r="355" spans="1:12">
      <c r="A355" s="1"/>
      <c r="C355" s="22" t="s">
        <v>6</v>
      </c>
      <c r="D355" s="22" t="s">
        <v>435</v>
      </c>
      <c r="E355" s="22" t="s">
        <v>435</v>
      </c>
      <c r="F355" s="22" t="s">
        <v>435</v>
      </c>
      <c r="G355" s="22" t="s">
        <v>435</v>
      </c>
      <c r="H355" s="22" t="s">
        <v>435</v>
      </c>
      <c r="I355" s="22" t="s">
        <v>7</v>
      </c>
      <c r="J355" s="22" t="s">
        <v>8</v>
      </c>
      <c r="K355" s="22" t="s">
        <v>7</v>
      </c>
      <c r="L355" s="22" t="s">
        <v>9</v>
      </c>
    </row>
    <row r="356" spans="1:12">
      <c r="A356" s="22" t="s">
        <v>10</v>
      </c>
      <c r="B356" s="22" t="s">
        <v>11</v>
      </c>
      <c r="C356" s="22" t="s">
        <v>12</v>
      </c>
      <c r="D356" s="22" t="s">
        <v>13</v>
      </c>
      <c r="E356" s="22" t="s">
        <v>14</v>
      </c>
      <c r="F356" s="22" t="s">
        <v>15</v>
      </c>
      <c r="G356" s="22" t="s">
        <v>16</v>
      </c>
      <c r="H356" s="22" t="s">
        <v>17</v>
      </c>
      <c r="I356" s="22" t="s">
        <v>95</v>
      </c>
      <c r="J356" s="22" t="s">
        <v>18</v>
      </c>
      <c r="K356" s="22" t="s">
        <v>19</v>
      </c>
      <c r="L356" s="22" t="s">
        <v>20</v>
      </c>
    </row>
    <row r="357" spans="1:12">
      <c r="A357" s="23">
        <v>1</v>
      </c>
      <c r="B357" s="37">
        <v>200742795</v>
      </c>
      <c r="C357" s="51" t="s">
        <v>370</v>
      </c>
      <c r="D357" s="24">
        <v>3.95</v>
      </c>
      <c r="E357" s="24">
        <v>2.6</v>
      </c>
      <c r="F357" s="24">
        <v>3.4</v>
      </c>
      <c r="G357" s="24">
        <v>1.93</v>
      </c>
      <c r="H357" s="24">
        <v>0</v>
      </c>
      <c r="I357" s="83">
        <v>1.1399999999999999</v>
      </c>
      <c r="J357" s="24">
        <f>+I357+H357+G357+F357+E357+D357</f>
        <v>13.02</v>
      </c>
      <c r="K357" s="24" t="s">
        <v>475</v>
      </c>
      <c r="L357" s="25">
        <f>+J357</f>
        <v>13.02</v>
      </c>
    </row>
    <row r="358" spans="1:12">
      <c r="A358" s="26">
        <v>2</v>
      </c>
      <c r="B358" s="37">
        <v>200840057</v>
      </c>
      <c r="C358" s="51" t="s">
        <v>371</v>
      </c>
      <c r="D358" s="24">
        <v>2.35</v>
      </c>
      <c r="E358" s="24">
        <v>1.25</v>
      </c>
      <c r="F358" s="24">
        <v>1.63</v>
      </c>
      <c r="G358" s="24">
        <v>0</v>
      </c>
      <c r="H358" s="24">
        <v>0</v>
      </c>
      <c r="I358" s="83">
        <v>0.5</v>
      </c>
      <c r="J358" s="24">
        <f>+I358+H358+G358+F358+E358+D358</f>
        <v>5.73</v>
      </c>
      <c r="K358" s="24" t="s">
        <v>475</v>
      </c>
      <c r="L358" s="25">
        <f t="shared" ref="L358:L360" si="29">+J358</f>
        <v>5.73</v>
      </c>
    </row>
    <row r="359" spans="1:12">
      <c r="A359" s="27">
        <v>3</v>
      </c>
      <c r="B359" s="37">
        <v>200840063</v>
      </c>
      <c r="C359" s="51" t="s">
        <v>372</v>
      </c>
      <c r="D359" s="24">
        <v>3.87</v>
      </c>
      <c r="E359" s="24">
        <v>7.55</v>
      </c>
      <c r="F359" s="24">
        <v>6.07</v>
      </c>
      <c r="G359" s="24">
        <v>3.85</v>
      </c>
      <c r="H359" s="24">
        <v>1.2</v>
      </c>
      <c r="I359" s="83">
        <v>9.7899999999999991</v>
      </c>
      <c r="J359" s="24">
        <f t="shared" ref="J359:J406" si="30">+I359+H359+G359+F359+E359+D359</f>
        <v>32.33</v>
      </c>
      <c r="K359" s="24" t="s">
        <v>475</v>
      </c>
      <c r="L359" s="25">
        <f t="shared" si="29"/>
        <v>32.33</v>
      </c>
    </row>
    <row r="360" spans="1:12">
      <c r="A360" s="26">
        <v>4</v>
      </c>
      <c r="B360" s="37">
        <v>200840082</v>
      </c>
      <c r="C360" s="51" t="s">
        <v>373</v>
      </c>
      <c r="D360" s="24">
        <v>6.85</v>
      </c>
      <c r="E360" s="24">
        <v>4.05</v>
      </c>
      <c r="F360" s="24">
        <v>3.4</v>
      </c>
      <c r="G360" s="24">
        <v>5.47</v>
      </c>
      <c r="H360" s="24">
        <v>1</v>
      </c>
      <c r="I360" s="83">
        <v>9.1199999999999992</v>
      </c>
      <c r="J360" s="24">
        <f t="shared" si="30"/>
        <v>29.89</v>
      </c>
      <c r="K360" s="24" t="s">
        <v>475</v>
      </c>
      <c r="L360" s="25">
        <f t="shared" si="29"/>
        <v>29.89</v>
      </c>
    </row>
    <row r="361" spans="1:12">
      <c r="A361" s="26">
        <v>5</v>
      </c>
      <c r="B361" s="37">
        <v>200840117</v>
      </c>
      <c r="C361" s="51" t="s">
        <v>374</v>
      </c>
      <c r="D361" s="24">
        <v>7.98</v>
      </c>
      <c r="E361" s="24">
        <v>4.05</v>
      </c>
      <c r="F361" s="24">
        <v>2.87</v>
      </c>
      <c r="G361" s="24">
        <v>8.93</v>
      </c>
      <c r="H361" s="24">
        <v>4.45</v>
      </c>
      <c r="I361" s="83">
        <v>17.13</v>
      </c>
      <c r="J361" s="24">
        <f t="shared" si="30"/>
        <v>45.41</v>
      </c>
      <c r="K361" s="24">
        <v>15.6</v>
      </c>
      <c r="L361" s="25">
        <f t="shared" ref="L361:L402" si="31">+K361+J361</f>
        <v>61.01</v>
      </c>
    </row>
    <row r="362" spans="1:12">
      <c r="A362" s="26">
        <v>6</v>
      </c>
      <c r="B362" s="37">
        <v>200840178</v>
      </c>
      <c r="C362" s="52" t="s">
        <v>377</v>
      </c>
      <c r="D362" s="24">
        <v>7.78</v>
      </c>
      <c r="E362" s="24">
        <v>5.72</v>
      </c>
      <c r="F362" s="24">
        <v>5.87</v>
      </c>
      <c r="G362" s="24">
        <v>5.77</v>
      </c>
      <c r="H362" s="24">
        <v>4.05</v>
      </c>
      <c r="I362" s="83">
        <v>14.65</v>
      </c>
      <c r="J362" s="24">
        <f t="shared" si="30"/>
        <v>43.84</v>
      </c>
      <c r="K362" s="24">
        <v>13.75</v>
      </c>
      <c r="L362" s="25">
        <f>+K362+J362</f>
        <v>57.59</v>
      </c>
    </row>
    <row r="363" spans="1:12">
      <c r="A363" s="26">
        <v>7</v>
      </c>
      <c r="B363" s="37">
        <v>200840190</v>
      </c>
      <c r="C363" s="51" t="s">
        <v>379</v>
      </c>
      <c r="D363" s="24">
        <v>6.98</v>
      </c>
      <c r="E363" s="24">
        <v>6.37</v>
      </c>
      <c r="F363" s="24">
        <v>6.07</v>
      </c>
      <c r="G363" s="24">
        <v>7.52</v>
      </c>
      <c r="H363" s="24">
        <v>4.7</v>
      </c>
      <c r="I363" s="83">
        <v>18.579999999999998</v>
      </c>
      <c r="J363" s="24">
        <f t="shared" si="30"/>
        <v>50.22</v>
      </c>
      <c r="K363" s="24">
        <v>15.4</v>
      </c>
      <c r="L363" s="25">
        <f t="shared" si="31"/>
        <v>65.62</v>
      </c>
    </row>
    <row r="364" spans="1:12">
      <c r="A364" s="26">
        <v>8</v>
      </c>
      <c r="B364" s="37">
        <v>200840194</v>
      </c>
      <c r="C364" s="51" t="s">
        <v>380</v>
      </c>
      <c r="D364" s="24">
        <v>3.97</v>
      </c>
      <c r="E364" s="24">
        <v>7.45</v>
      </c>
      <c r="F364" s="24">
        <v>8.6999999999999993</v>
      </c>
      <c r="G364" s="24">
        <v>4.87</v>
      </c>
      <c r="H364" s="24">
        <v>6.79</v>
      </c>
      <c r="I364" s="83">
        <v>16.16</v>
      </c>
      <c r="J364" s="24">
        <f t="shared" si="30"/>
        <v>47.94</v>
      </c>
      <c r="K364" s="24">
        <v>17</v>
      </c>
      <c r="L364" s="25">
        <f t="shared" si="31"/>
        <v>64.94</v>
      </c>
    </row>
    <row r="365" spans="1:12">
      <c r="A365" s="26">
        <v>9</v>
      </c>
      <c r="B365" s="37">
        <v>200840222</v>
      </c>
      <c r="C365" s="51" t="s">
        <v>381</v>
      </c>
      <c r="D365" s="24">
        <v>7.93</v>
      </c>
      <c r="E365" s="24">
        <v>8.6999999999999993</v>
      </c>
      <c r="F365" s="24">
        <v>9</v>
      </c>
      <c r="G365" s="24">
        <v>7.87</v>
      </c>
      <c r="H365" s="24">
        <v>7.66</v>
      </c>
      <c r="I365" s="83">
        <v>19.829999999999998</v>
      </c>
      <c r="J365" s="24">
        <f t="shared" si="30"/>
        <v>60.99</v>
      </c>
      <c r="K365" s="24">
        <v>12.9</v>
      </c>
      <c r="L365" s="25">
        <f t="shared" si="31"/>
        <v>73.89</v>
      </c>
    </row>
    <row r="366" spans="1:12">
      <c r="A366" s="26">
        <v>10</v>
      </c>
      <c r="B366" s="45">
        <v>200842080</v>
      </c>
      <c r="C366" s="56" t="s">
        <v>383</v>
      </c>
      <c r="D366" s="24">
        <v>7.8</v>
      </c>
      <c r="E366" s="24">
        <v>6.4</v>
      </c>
      <c r="F366" s="24">
        <v>3.2</v>
      </c>
      <c r="G366" s="24">
        <v>7.2</v>
      </c>
      <c r="H366" s="24">
        <v>4.9000000000000004</v>
      </c>
      <c r="I366" s="83">
        <v>15.42</v>
      </c>
      <c r="J366" s="24">
        <f t="shared" si="30"/>
        <v>44.919999999999995</v>
      </c>
      <c r="K366" s="24">
        <v>16.350000000000001</v>
      </c>
      <c r="L366" s="25">
        <f t="shared" si="31"/>
        <v>61.269999999999996</v>
      </c>
    </row>
    <row r="367" spans="1:12">
      <c r="A367" s="26">
        <v>11</v>
      </c>
      <c r="B367" s="37">
        <v>200842122</v>
      </c>
      <c r="C367" s="52" t="s">
        <v>384</v>
      </c>
      <c r="D367" s="24">
        <v>1.95</v>
      </c>
      <c r="E367" s="24">
        <v>2.4</v>
      </c>
      <c r="F367" s="24">
        <v>0.87</v>
      </c>
      <c r="G367" s="24">
        <v>2.83</v>
      </c>
      <c r="H367" s="24">
        <v>0.3</v>
      </c>
      <c r="I367" s="83">
        <v>8.56</v>
      </c>
      <c r="J367" s="24">
        <f t="shared" si="30"/>
        <v>16.91</v>
      </c>
      <c r="K367" s="24" t="s">
        <v>475</v>
      </c>
      <c r="L367" s="25">
        <f>+J367</f>
        <v>16.91</v>
      </c>
    </row>
    <row r="368" spans="1:12">
      <c r="A368" s="26">
        <v>12</v>
      </c>
      <c r="B368" s="37">
        <v>200842241</v>
      </c>
      <c r="C368" s="51" t="s">
        <v>385</v>
      </c>
      <c r="D368" s="24">
        <v>7.37</v>
      </c>
      <c r="E368" s="24">
        <v>4.92</v>
      </c>
      <c r="F368" s="24">
        <v>2.67</v>
      </c>
      <c r="G368" s="24">
        <v>7.47</v>
      </c>
      <c r="H368" s="28">
        <v>1.3</v>
      </c>
      <c r="I368" s="83">
        <v>6</v>
      </c>
      <c r="J368" s="24">
        <f t="shared" si="30"/>
        <v>29.73</v>
      </c>
      <c r="K368" s="24" t="s">
        <v>475</v>
      </c>
      <c r="L368" s="25">
        <f t="shared" ref="L368:L372" si="32">+J368</f>
        <v>29.73</v>
      </c>
    </row>
    <row r="369" spans="1:12">
      <c r="A369" s="26">
        <v>13</v>
      </c>
      <c r="B369" s="37">
        <v>200842422</v>
      </c>
      <c r="C369" s="51" t="s">
        <v>386</v>
      </c>
      <c r="D369" s="24">
        <v>3.33</v>
      </c>
      <c r="E369" s="24">
        <v>7.52</v>
      </c>
      <c r="F369" s="24">
        <v>7.2</v>
      </c>
      <c r="G369" s="24">
        <v>7.93</v>
      </c>
      <c r="H369" s="28">
        <v>1.7</v>
      </c>
      <c r="I369" s="83">
        <v>14</v>
      </c>
      <c r="J369" s="24">
        <f t="shared" si="30"/>
        <v>41.679999999999993</v>
      </c>
      <c r="K369" s="24">
        <v>11.4</v>
      </c>
      <c r="L369" s="25">
        <f>+K369+J369</f>
        <v>53.079999999999991</v>
      </c>
    </row>
    <row r="370" spans="1:12">
      <c r="A370" s="26">
        <v>14</v>
      </c>
      <c r="B370" s="37">
        <v>200842701</v>
      </c>
      <c r="C370" s="51" t="s">
        <v>388</v>
      </c>
      <c r="D370" s="24">
        <v>4</v>
      </c>
      <c r="E370" s="24">
        <v>4.55</v>
      </c>
      <c r="F370" s="24">
        <v>0.2</v>
      </c>
      <c r="G370" s="24">
        <v>0</v>
      </c>
      <c r="H370" s="28">
        <v>0</v>
      </c>
      <c r="I370" s="83">
        <v>8.19</v>
      </c>
      <c r="J370" s="24">
        <f t="shared" si="30"/>
        <v>16.939999999999998</v>
      </c>
      <c r="K370" s="24" t="s">
        <v>475</v>
      </c>
      <c r="L370" s="25">
        <f t="shared" si="32"/>
        <v>16.939999999999998</v>
      </c>
    </row>
    <row r="371" spans="1:12">
      <c r="A371" s="23">
        <v>15</v>
      </c>
      <c r="B371" s="37">
        <v>200843354</v>
      </c>
      <c r="C371" s="53" t="s">
        <v>389</v>
      </c>
      <c r="D371" s="24">
        <v>3.4</v>
      </c>
      <c r="E371" s="24">
        <v>4.6500000000000004</v>
      </c>
      <c r="F371" s="24">
        <v>1.93</v>
      </c>
      <c r="G371" s="24">
        <v>0</v>
      </c>
      <c r="H371" s="28">
        <v>2.2000000000000002</v>
      </c>
      <c r="I371" s="83">
        <v>7.81</v>
      </c>
      <c r="J371" s="24">
        <f t="shared" si="30"/>
        <v>19.989999999999998</v>
      </c>
      <c r="K371" s="24" t="s">
        <v>475</v>
      </c>
      <c r="L371" s="25">
        <f t="shared" si="32"/>
        <v>19.989999999999998</v>
      </c>
    </row>
    <row r="372" spans="1:12">
      <c r="A372" s="23">
        <v>16</v>
      </c>
      <c r="B372" s="37">
        <v>200843490</v>
      </c>
      <c r="C372" s="51" t="s">
        <v>390</v>
      </c>
      <c r="D372" s="24">
        <v>3.65</v>
      </c>
      <c r="E372" s="24">
        <v>7.65</v>
      </c>
      <c r="F372" s="24">
        <v>0</v>
      </c>
      <c r="G372" s="24">
        <v>0</v>
      </c>
      <c r="H372" s="24">
        <v>0</v>
      </c>
      <c r="I372" s="83">
        <v>6.18</v>
      </c>
      <c r="J372" s="24">
        <f t="shared" si="30"/>
        <v>17.48</v>
      </c>
      <c r="K372" s="24" t="s">
        <v>475</v>
      </c>
      <c r="L372" s="25">
        <f t="shared" si="32"/>
        <v>17.48</v>
      </c>
    </row>
    <row r="373" spans="1:12">
      <c r="A373" s="23">
        <v>17</v>
      </c>
      <c r="B373" s="37">
        <v>200880037</v>
      </c>
      <c r="C373" s="51" t="s">
        <v>392</v>
      </c>
      <c r="D373" s="24">
        <v>9.68</v>
      </c>
      <c r="E373" s="24">
        <v>7.77</v>
      </c>
      <c r="F373" s="24">
        <v>8.3000000000000007</v>
      </c>
      <c r="G373" s="24">
        <v>8</v>
      </c>
      <c r="H373" s="24">
        <v>4.38</v>
      </c>
      <c r="I373" s="83">
        <v>15.28</v>
      </c>
      <c r="J373" s="24">
        <f t="shared" si="30"/>
        <v>53.410000000000004</v>
      </c>
      <c r="K373" s="24">
        <v>13.5</v>
      </c>
      <c r="L373" s="25">
        <f t="shared" si="31"/>
        <v>66.91</v>
      </c>
    </row>
    <row r="374" spans="1:12">
      <c r="A374" s="23">
        <v>18</v>
      </c>
      <c r="B374" s="37">
        <v>200880038</v>
      </c>
      <c r="C374" s="51" t="s">
        <v>393</v>
      </c>
      <c r="D374" s="24">
        <v>5.83</v>
      </c>
      <c r="E374" s="24">
        <v>8.42</v>
      </c>
      <c r="F374" s="24">
        <v>8.9</v>
      </c>
      <c r="G374" s="24">
        <v>6.3</v>
      </c>
      <c r="H374" s="24">
        <v>6.41</v>
      </c>
      <c r="I374" s="83">
        <v>15.17</v>
      </c>
      <c r="J374" s="24">
        <f t="shared" si="30"/>
        <v>51.03</v>
      </c>
      <c r="K374" s="24">
        <v>10.6</v>
      </c>
      <c r="L374" s="25">
        <f t="shared" si="31"/>
        <v>61.63</v>
      </c>
    </row>
    <row r="375" spans="1:12">
      <c r="A375" s="27">
        <v>19</v>
      </c>
      <c r="B375" s="37">
        <v>200940459</v>
      </c>
      <c r="C375" s="51" t="s">
        <v>394</v>
      </c>
      <c r="D375" s="24">
        <v>3.52</v>
      </c>
      <c r="E375" s="24">
        <v>4.8</v>
      </c>
      <c r="F375" s="24">
        <v>4.8</v>
      </c>
      <c r="G375" s="24">
        <v>5.85</v>
      </c>
      <c r="H375" s="24">
        <v>1.85</v>
      </c>
      <c r="I375" s="83">
        <v>12.32</v>
      </c>
      <c r="J375" s="24">
        <f t="shared" si="30"/>
        <v>33.14</v>
      </c>
      <c r="K375" s="24" t="s">
        <v>475</v>
      </c>
      <c r="L375" s="25">
        <f>+J375</f>
        <v>33.14</v>
      </c>
    </row>
    <row r="376" spans="1:12">
      <c r="A376" s="27">
        <v>20</v>
      </c>
      <c r="B376" s="40">
        <v>200940500</v>
      </c>
      <c r="C376" s="51" t="s">
        <v>395</v>
      </c>
      <c r="D376" s="24">
        <v>3.25</v>
      </c>
      <c r="E376" s="24">
        <v>6.3</v>
      </c>
      <c r="F376" s="24">
        <v>4.5</v>
      </c>
      <c r="G376" s="24">
        <v>6.33</v>
      </c>
      <c r="H376" s="24">
        <v>4.63</v>
      </c>
      <c r="I376" s="83">
        <v>11.7</v>
      </c>
      <c r="J376" s="24">
        <f t="shared" si="30"/>
        <v>36.709999999999994</v>
      </c>
      <c r="K376" s="24" t="s">
        <v>475</v>
      </c>
      <c r="L376" s="25">
        <f t="shared" ref="L376:L387" si="33">+J376</f>
        <v>36.709999999999994</v>
      </c>
    </row>
    <row r="377" spans="1:12">
      <c r="A377" s="27">
        <v>21</v>
      </c>
      <c r="B377" s="37">
        <v>200940520</v>
      </c>
      <c r="C377" s="51" t="s">
        <v>396</v>
      </c>
      <c r="D377" s="24">
        <v>4.07</v>
      </c>
      <c r="E377" s="24">
        <v>4.5999999999999996</v>
      </c>
      <c r="F377" s="24">
        <v>8.9700000000000006</v>
      </c>
      <c r="G377" s="24">
        <v>4.7</v>
      </c>
      <c r="H377" s="24">
        <v>4.5599999999999996</v>
      </c>
      <c r="I377" s="83">
        <v>13.71</v>
      </c>
      <c r="J377" s="24">
        <f t="shared" si="30"/>
        <v>40.61</v>
      </c>
      <c r="K377" s="24" t="s">
        <v>475</v>
      </c>
      <c r="L377" s="25">
        <v>40.61</v>
      </c>
    </row>
    <row r="378" spans="1:12">
      <c r="A378" s="27">
        <v>22</v>
      </c>
      <c r="B378" s="45">
        <v>200940528</v>
      </c>
      <c r="C378" s="56" t="s">
        <v>397</v>
      </c>
      <c r="D378" s="24">
        <v>2.33</v>
      </c>
      <c r="E378" s="24">
        <v>0</v>
      </c>
      <c r="F378" s="24">
        <v>0</v>
      </c>
      <c r="G378" s="24">
        <v>0</v>
      </c>
      <c r="H378" s="24">
        <v>0</v>
      </c>
      <c r="I378" s="83">
        <v>2.5</v>
      </c>
      <c r="J378" s="24">
        <f t="shared" si="30"/>
        <v>4.83</v>
      </c>
      <c r="K378" s="24" t="s">
        <v>475</v>
      </c>
      <c r="L378" s="25">
        <f t="shared" si="33"/>
        <v>4.83</v>
      </c>
    </row>
    <row r="379" spans="1:12">
      <c r="A379" s="27">
        <v>23</v>
      </c>
      <c r="B379" s="37">
        <v>200940536</v>
      </c>
      <c r="C379" s="51" t="s">
        <v>398</v>
      </c>
      <c r="D379" s="24">
        <v>2.87</v>
      </c>
      <c r="E379" s="24">
        <v>4.4000000000000004</v>
      </c>
      <c r="F379" s="24">
        <v>4.47</v>
      </c>
      <c r="G379" s="24">
        <v>1.73</v>
      </c>
      <c r="H379" s="24">
        <v>0</v>
      </c>
      <c r="I379" s="83">
        <v>9.75</v>
      </c>
      <c r="J379" s="24">
        <f t="shared" si="30"/>
        <v>23.220000000000002</v>
      </c>
      <c r="K379" s="24" t="s">
        <v>475</v>
      </c>
      <c r="L379" s="25">
        <f t="shared" si="33"/>
        <v>23.220000000000002</v>
      </c>
    </row>
    <row r="380" spans="1:12">
      <c r="A380" s="27">
        <v>24</v>
      </c>
      <c r="B380" s="37">
        <v>200940876</v>
      </c>
      <c r="C380" s="51" t="s">
        <v>399</v>
      </c>
      <c r="D380" s="24">
        <v>2.2200000000000002</v>
      </c>
      <c r="E380" s="24">
        <v>3</v>
      </c>
      <c r="F380" s="24">
        <v>2.9</v>
      </c>
      <c r="G380" s="24">
        <v>6.27</v>
      </c>
      <c r="H380" s="24">
        <v>2.2999999999999998</v>
      </c>
      <c r="I380" s="83">
        <v>11.15</v>
      </c>
      <c r="J380" s="24">
        <f t="shared" si="30"/>
        <v>27.839999999999996</v>
      </c>
      <c r="K380" s="24" t="s">
        <v>475</v>
      </c>
      <c r="L380" s="25">
        <f t="shared" si="33"/>
        <v>27.839999999999996</v>
      </c>
    </row>
    <row r="381" spans="1:12">
      <c r="A381" s="27">
        <v>25</v>
      </c>
      <c r="B381" s="37">
        <v>200940879</v>
      </c>
      <c r="C381" s="53" t="s">
        <v>400</v>
      </c>
      <c r="D381" s="24">
        <v>3.02</v>
      </c>
      <c r="E381" s="24">
        <v>5.05</v>
      </c>
      <c r="F381" s="24">
        <v>3.1</v>
      </c>
      <c r="G381" s="24">
        <v>6.77</v>
      </c>
      <c r="H381" s="24">
        <v>0</v>
      </c>
      <c r="I381" s="83">
        <v>12.06</v>
      </c>
      <c r="J381" s="24">
        <f t="shared" si="30"/>
        <v>30</v>
      </c>
      <c r="K381" s="24" t="s">
        <v>475</v>
      </c>
      <c r="L381" s="25">
        <f t="shared" si="33"/>
        <v>30</v>
      </c>
    </row>
    <row r="382" spans="1:12">
      <c r="A382" s="27">
        <v>26</v>
      </c>
      <c r="B382" s="73">
        <v>200941420</v>
      </c>
      <c r="C382" s="74" t="s">
        <v>401</v>
      </c>
      <c r="D382" s="24">
        <v>1.67</v>
      </c>
      <c r="E382" s="24">
        <v>2.85</v>
      </c>
      <c r="F382" s="24">
        <v>0.3</v>
      </c>
      <c r="G382" s="24">
        <v>0</v>
      </c>
      <c r="H382" s="24">
        <v>0</v>
      </c>
      <c r="I382" s="83">
        <v>7.25</v>
      </c>
      <c r="J382" s="24">
        <f t="shared" si="30"/>
        <v>12.07</v>
      </c>
      <c r="K382" s="24" t="s">
        <v>475</v>
      </c>
      <c r="L382" s="25">
        <f t="shared" si="33"/>
        <v>12.07</v>
      </c>
    </row>
    <row r="383" spans="1:12">
      <c r="A383" s="27">
        <v>27</v>
      </c>
      <c r="B383" s="40">
        <v>200942150</v>
      </c>
      <c r="C383" s="52" t="s">
        <v>402</v>
      </c>
      <c r="D383" s="24">
        <v>9.25</v>
      </c>
      <c r="E383" s="24">
        <v>0</v>
      </c>
      <c r="F383" s="24">
        <v>0</v>
      </c>
      <c r="G383" s="24">
        <v>0</v>
      </c>
      <c r="H383" s="24">
        <v>0</v>
      </c>
      <c r="I383" s="83">
        <v>4.18</v>
      </c>
      <c r="J383" s="24">
        <f t="shared" si="30"/>
        <v>13.43</v>
      </c>
      <c r="K383" s="24" t="s">
        <v>475</v>
      </c>
      <c r="L383" s="25">
        <f t="shared" si="33"/>
        <v>13.43</v>
      </c>
    </row>
    <row r="384" spans="1:12">
      <c r="A384" s="27">
        <v>28</v>
      </c>
      <c r="B384" s="37">
        <v>200942163</v>
      </c>
      <c r="C384" s="51" t="s">
        <v>403</v>
      </c>
      <c r="D384" s="24">
        <v>4.76</v>
      </c>
      <c r="E384" s="24">
        <v>5.55</v>
      </c>
      <c r="F384" s="24">
        <v>4.5199999999999996</v>
      </c>
      <c r="G384" s="24">
        <v>0</v>
      </c>
      <c r="H384" s="24">
        <v>0</v>
      </c>
      <c r="I384" s="83">
        <v>4.4400000000000004</v>
      </c>
      <c r="J384" s="24">
        <f t="shared" si="30"/>
        <v>19.270000000000003</v>
      </c>
      <c r="K384" s="24" t="s">
        <v>475</v>
      </c>
      <c r="L384" s="25">
        <f t="shared" si="33"/>
        <v>19.270000000000003</v>
      </c>
    </row>
    <row r="385" spans="1:12">
      <c r="A385" s="27">
        <v>29</v>
      </c>
      <c r="B385" s="37">
        <v>200942665</v>
      </c>
      <c r="C385" s="53" t="s">
        <v>404</v>
      </c>
      <c r="D385" s="24">
        <v>3.13</v>
      </c>
      <c r="E385" s="24">
        <v>4.1500000000000004</v>
      </c>
      <c r="F385" s="24">
        <v>4.3</v>
      </c>
      <c r="G385" s="24">
        <v>9.0299999999999994</v>
      </c>
      <c r="H385" s="24">
        <v>3.98</v>
      </c>
      <c r="I385" s="83">
        <v>18.46</v>
      </c>
      <c r="J385" s="24">
        <f t="shared" si="30"/>
        <v>43.05</v>
      </c>
      <c r="K385" s="24">
        <v>7.45</v>
      </c>
      <c r="L385" s="25">
        <f>+K385+J385</f>
        <v>50.5</v>
      </c>
    </row>
    <row r="386" spans="1:12">
      <c r="A386" s="27">
        <v>30</v>
      </c>
      <c r="B386" s="37">
        <v>200942674</v>
      </c>
      <c r="C386" s="51" t="s">
        <v>405</v>
      </c>
      <c r="D386" s="24">
        <v>2.9</v>
      </c>
      <c r="E386" s="24">
        <v>0</v>
      </c>
      <c r="F386" s="24">
        <v>0</v>
      </c>
      <c r="G386" s="24">
        <v>0</v>
      </c>
      <c r="H386" s="24">
        <v>0</v>
      </c>
      <c r="I386" s="83">
        <v>3.3</v>
      </c>
      <c r="J386" s="24">
        <f t="shared" si="30"/>
        <v>6.1999999999999993</v>
      </c>
      <c r="K386" s="24" t="s">
        <v>475</v>
      </c>
      <c r="L386" s="25">
        <f t="shared" si="33"/>
        <v>6.1999999999999993</v>
      </c>
    </row>
    <row r="387" spans="1:12">
      <c r="A387" s="27">
        <v>31</v>
      </c>
      <c r="B387" s="37">
        <v>200942710</v>
      </c>
      <c r="C387" s="59" t="s">
        <v>406</v>
      </c>
      <c r="D387" s="24">
        <v>6.75</v>
      </c>
      <c r="E387" s="24">
        <v>2.85</v>
      </c>
      <c r="F387" s="24">
        <v>4.2</v>
      </c>
      <c r="G387" s="24">
        <v>6.77</v>
      </c>
      <c r="H387" s="24">
        <v>0</v>
      </c>
      <c r="I387" s="83">
        <v>13.89</v>
      </c>
      <c r="J387" s="24">
        <f t="shared" si="30"/>
        <v>34.46</v>
      </c>
      <c r="K387" s="24" t="s">
        <v>475</v>
      </c>
      <c r="L387" s="25">
        <f t="shared" si="33"/>
        <v>34.46</v>
      </c>
    </row>
    <row r="388" spans="1:12">
      <c r="A388" s="27">
        <v>32</v>
      </c>
      <c r="B388" s="37">
        <v>200942784</v>
      </c>
      <c r="C388" s="54" t="s">
        <v>407</v>
      </c>
      <c r="D388" s="24">
        <v>3.67</v>
      </c>
      <c r="E388" s="24">
        <v>8.9</v>
      </c>
      <c r="F388" s="24">
        <v>10</v>
      </c>
      <c r="G388" s="24">
        <v>9.6999999999999993</v>
      </c>
      <c r="H388" s="24">
        <v>6.51</v>
      </c>
      <c r="I388" s="83">
        <v>17.489999999999998</v>
      </c>
      <c r="J388" s="24">
        <f t="shared" si="30"/>
        <v>56.27</v>
      </c>
      <c r="K388" s="24">
        <v>12.1</v>
      </c>
      <c r="L388" s="25">
        <f t="shared" si="31"/>
        <v>68.37</v>
      </c>
    </row>
    <row r="389" spans="1:12">
      <c r="A389" s="27">
        <v>33</v>
      </c>
      <c r="B389" s="37">
        <v>200942848</v>
      </c>
      <c r="C389" s="51" t="s">
        <v>408</v>
      </c>
      <c r="D389" s="24">
        <v>1.85</v>
      </c>
      <c r="E389" s="24">
        <v>0</v>
      </c>
      <c r="F389" s="24">
        <v>0</v>
      </c>
      <c r="G389" s="24">
        <v>0</v>
      </c>
      <c r="H389" s="24">
        <v>0</v>
      </c>
      <c r="I389" s="83">
        <v>4.8499999999999996</v>
      </c>
      <c r="J389" s="24">
        <f t="shared" si="30"/>
        <v>6.6999999999999993</v>
      </c>
      <c r="K389" s="24" t="s">
        <v>475</v>
      </c>
      <c r="L389" s="25">
        <f>+J389</f>
        <v>6.6999999999999993</v>
      </c>
    </row>
    <row r="390" spans="1:12">
      <c r="A390" s="27">
        <v>34</v>
      </c>
      <c r="B390" s="37">
        <v>200942862</v>
      </c>
      <c r="C390" s="51" t="s">
        <v>409</v>
      </c>
      <c r="D390" s="24">
        <v>2.5099999999999998</v>
      </c>
      <c r="E390" s="24">
        <v>3.5</v>
      </c>
      <c r="F390" s="24">
        <v>1.87</v>
      </c>
      <c r="G390" s="24">
        <v>1.53</v>
      </c>
      <c r="H390" s="24">
        <v>0</v>
      </c>
      <c r="I390" s="83">
        <v>12.42</v>
      </c>
      <c r="J390" s="24">
        <f t="shared" si="30"/>
        <v>21.83</v>
      </c>
      <c r="K390" s="24" t="s">
        <v>475</v>
      </c>
      <c r="L390" s="25">
        <f t="shared" ref="L390:L399" si="34">+J390</f>
        <v>21.83</v>
      </c>
    </row>
    <row r="391" spans="1:12">
      <c r="A391" s="27">
        <v>35</v>
      </c>
      <c r="B391" s="57">
        <v>200942871</v>
      </c>
      <c r="C391" s="60" t="s">
        <v>410</v>
      </c>
      <c r="D391" s="24">
        <v>7.4</v>
      </c>
      <c r="E391" s="24">
        <v>6.75</v>
      </c>
      <c r="F391" s="24">
        <v>4.92</v>
      </c>
      <c r="G391" s="24">
        <v>4.0999999999999996</v>
      </c>
      <c r="H391" s="24">
        <v>0</v>
      </c>
      <c r="I391" s="83">
        <v>14.83</v>
      </c>
      <c r="J391" s="24">
        <f t="shared" si="30"/>
        <v>38</v>
      </c>
      <c r="K391" s="24" t="s">
        <v>475</v>
      </c>
      <c r="L391" s="25">
        <f t="shared" si="34"/>
        <v>38</v>
      </c>
    </row>
    <row r="392" spans="1:12">
      <c r="A392" s="27">
        <v>36</v>
      </c>
      <c r="B392" s="40">
        <v>200942929</v>
      </c>
      <c r="C392" s="52" t="s">
        <v>411</v>
      </c>
      <c r="D392" s="24">
        <v>2.13</v>
      </c>
      <c r="E392" s="24">
        <v>1.4</v>
      </c>
      <c r="F392" s="24">
        <v>0</v>
      </c>
      <c r="G392" s="24">
        <v>0</v>
      </c>
      <c r="H392" s="24">
        <v>0</v>
      </c>
      <c r="I392" s="83">
        <v>2.4</v>
      </c>
      <c r="J392" s="24">
        <f t="shared" si="30"/>
        <v>5.93</v>
      </c>
      <c r="K392" s="24" t="s">
        <v>475</v>
      </c>
      <c r="L392" s="25">
        <f t="shared" si="34"/>
        <v>5.93</v>
      </c>
    </row>
    <row r="393" spans="1:12">
      <c r="A393" s="27">
        <v>37</v>
      </c>
      <c r="B393" s="37">
        <v>200943135</v>
      </c>
      <c r="C393" s="55" t="s">
        <v>412</v>
      </c>
      <c r="D393" s="24">
        <v>3.67</v>
      </c>
      <c r="E393" s="24">
        <v>0</v>
      </c>
      <c r="F393" s="24">
        <v>0</v>
      </c>
      <c r="G393" s="24">
        <v>0</v>
      </c>
      <c r="H393" s="24">
        <v>0</v>
      </c>
      <c r="I393" s="83">
        <v>0.48</v>
      </c>
      <c r="J393" s="24">
        <f t="shared" si="30"/>
        <v>4.1500000000000004</v>
      </c>
      <c r="K393" s="24" t="s">
        <v>475</v>
      </c>
      <c r="L393" s="25">
        <f t="shared" si="34"/>
        <v>4.1500000000000004</v>
      </c>
    </row>
    <row r="394" spans="1:12">
      <c r="A394" s="27">
        <v>38</v>
      </c>
      <c r="B394" s="49">
        <v>200943323</v>
      </c>
      <c r="C394" s="59" t="s">
        <v>413</v>
      </c>
      <c r="D394" s="24">
        <v>6.65</v>
      </c>
      <c r="E394" s="24">
        <v>5.0999999999999996</v>
      </c>
      <c r="F394" s="24">
        <v>6.87</v>
      </c>
      <c r="G394" s="24">
        <v>5.67</v>
      </c>
      <c r="H394" s="24">
        <v>0</v>
      </c>
      <c r="I394" s="83">
        <v>10.11</v>
      </c>
      <c r="J394" s="24">
        <f t="shared" si="30"/>
        <v>34.4</v>
      </c>
      <c r="K394" s="24" t="s">
        <v>475</v>
      </c>
      <c r="L394" s="25">
        <f t="shared" si="34"/>
        <v>34.4</v>
      </c>
    </row>
    <row r="395" spans="1:12">
      <c r="A395" s="27">
        <v>39</v>
      </c>
      <c r="B395" s="45">
        <v>200943325</v>
      </c>
      <c r="C395" s="56" t="s">
        <v>414</v>
      </c>
      <c r="D395" s="24">
        <v>3.1</v>
      </c>
      <c r="E395" s="24">
        <v>5.75</v>
      </c>
      <c r="F395" s="24">
        <v>4.87</v>
      </c>
      <c r="G395" s="24">
        <v>3.4</v>
      </c>
      <c r="H395" s="24">
        <v>0</v>
      </c>
      <c r="I395" s="83">
        <v>11.36</v>
      </c>
      <c r="J395" s="24">
        <f t="shared" si="30"/>
        <v>28.48</v>
      </c>
      <c r="K395" s="24" t="s">
        <v>475</v>
      </c>
      <c r="L395" s="25">
        <f t="shared" si="34"/>
        <v>28.48</v>
      </c>
    </row>
    <row r="396" spans="1:12">
      <c r="A396" s="27">
        <v>40</v>
      </c>
      <c r="B396" s="45">
        <v>200943358</v>
      </c>
      <c r="C396" s="56" t="s">
        <v>415</v>
      </c>
      <c r="D396" s="24">
        <v>1.97</v>
      </c>
      <c r="E396" s="24">
        <v>2.65</v>
      </c>
      <c r="F396" s="24">
        <v>1.5</v>
      </c>
      <c r="G396" s="24">
        <v>0</v>
      </c>
      <c r="H396" s="24">
        <v>0</v>
      </c>
      <c r="I396" s="83">
        <v>5</v>
      </c>
      <c r="J396" s="24">
        <f t="shared" si="30"/>
        <v>11.120000000000001</v>
      </c>
      <c r="K396" s="24" t="s">
        <v>475</v>
      </c>
      <c r="L396" s="25">
        <f t="shared" si="34"/>
        <v>11.120000000000001</v>
      </c>
    </row>
    <row r="397" spans="1:12">
      <c r="A397" s="27">
        <v>41</v>
      </c>
      <c r="B397" s="45">
        <v>200943362</v>
      </c>
      <c r="C397" s="56" t="s">
        <v>416</v>
      </c>
      <c r="D397" s="24">
        <v>4.43</v>
      </c>
      <c r="E397" s="24">
        <v>3.8</v>
      </c>
      <c r="F397" s="24">
        <v>1.8</v>
      </c>
      <c r="G397" s="24">
        <v>5.33</v>
      </c>
      <c r="H397" s="24">
        <v>1.65</v>
      </c>
      <c r="I397" s="83">
        <v>13.34</v>
      </c>
      <c r="J397" s="24">
        <f t="shared" si="30"/>
        <v>30.35</v>
      </c>
      <c r="K397" s="24" t="s">
        <v>475</v>
      </c>
      <c r="L397" s="25">
        <f t="shared" si="34"/>
        <v>30.35</v>
      </c>
    </row>
    <row r="398" spans="1:12">
      <c r="A398" s="27">
        <v>42</v>
      </c>
      <c r="B398" s="45">
        <v>200943370</v>
      </c>
      <c r="C398" s="60" t="s">
        <v>417</v>
      </c>
      <c r="D398" s="24">
        <v>3.8</v>
      </c>
      <c r="E398" s="24">
        <v>5.55</v>
      </c>
      <c r="F398" s="24">
        <v>3.4</v>
      </c>
      <c r="G398" s="24">
        <v>4.18</v>
      </c>
      <c r="H398" s="24">
        <v>0</v>
      </c>
      <c r="I398" s="83">
        <v>6.62</v>
      </c>
      <c r="J398" s="24">
        <f t="shared" si="30"/>
        <v>23.55</v>
      </c>
      <c r="K398" s="24" t="s">
        <v>475</v>
      </c>
      <c r="L398" s="25">
        <f t="shared" si="34"/>
        <v>23.55</v>
      </c>
    </row>
    <row r="399" spans="1:12">
      <c r="A399" s="27">
        <v>43</v>
      </c>
      <c r="B399" s="45">
        <v>200943372</v>
      </c>
      <c r="C399" s="60" t="s">
        <v>418</v>
      </c>
      <c r="D399" s="24">
        <v>2.0499999999999998</v>
      </c>
      <c r="E399" s="24">
        <v>4.1500000000000004</v>
      </c>
      <c r="F399" s="24">
        <v>1.7</v>
      </c>
      <c r="G399" s="24">
        <v>0</v>
      </c>
      <c r="H399" s="24">
        <v>0</v>
      </c>
      <c r="I399" s="83">
        <v>7.37</v>
      </c>
      <c r="J399" s="24">
        <f t="shared" si="30"/>
        <v>15.27</v>
      </c>
      <c r="K399" s="24" t="s">
        <v>475</v>
      </c>
      <c r="L399" s="25">
        <f t="shared" si="34"/>
        <v>15.27</v>
      </c>
    </row>
    <row r="400" spans="1:12">
      <c r="A400" s="27">
        <v>44</v>
      </c>
      <c r="B400" s="45">
        <v>200943511</v>
      </c>
      <c r="C400" s="56" t="s">
        <v>419</v>
      </c>
      <c r="D400" s="62">
        <v>3.98</v>
      </c>
      <c r="E400" s="24">
        <v>8.75</v>
      </c>
      <c r="F400" s="24">
        <v>10.1</v>
      </c>
      <c r="G400" s="24">
        <v>7.73</v>
      </c>
      <c r="H400" s="24">
        <v>6.81</v>
      </c>
      <c r="I400" s="83">
        <v>13.58</v>
      </c>
      <c r="J400" s="24">
        <f t="shared" si="30"/>
        <v>50.949999999999996</v>
      </c>
      <c r="K400" s="24">
        <v>14.55</v>
      </c>
      <c r="L400" s="25">
        <f t="shared" si="31"/>
        <v>65.5</v>
      </c>
    </row>
    <row r="401" spans="1:12">
      <c r="A401" s="27">
        <v>45</v>
      </c>
      <c r="B401" s="37">
        <v>200943638</v>
      </c>
      <c r="C401" s="52" t="s">
        <v>420</v>
      </c>
      <c r="D401" s="24">
        <v>3.65</v>
      </c>
      <c r="E401" s="24">
        <v>3.5</v>
      </c>
      <c r="F401" s="24">
        <v>2</v>
      </c>
      <c r="G401" s="24">
        <v>1.6</v>
      </c>
      <c r="H401" s="24">
        <v>0</v>
      </c>
      <c r="I401" s="83">
        <v>5.44</v>
      </c>
      <c r="J401" s="24">
        <f t="shared" si="30"/>
        <v>16.190000000000001</v>
      </c>
      <c r="K401" s="24" t="s">
        <v>475</v>
      </c>
      <c r="L401" s="25">
        <f>+J401</f>
        <v>16.190000000000001</v>
      </c>
    </row>
    <row r="402" spans="1:12">
      <c r="A402" s="27">
        <v>46</v>
      </c>
      <c r="B402" s="45">
        <v>200943718</v>
      </c>
      <c r="C402" s="60" t="s">
        <v>421</v>
      </c>
      <c r="D402" s="24">
        <v>7.6</v>
      </c>
      <c r="E402" s="24">
        <v>9.75</v>
      </c>
      <c r="F402" s="24">
        <v>8.9700000000000006</v>
      </c>
      <c r="G402" s="24">
        <v>7.9</v>
      </c>
      <c r="H402" s="24">
        <v>4.2</v>
      </c>
      <c r="I402" s="83">
        <v>14.09</v>
      </c>
      <c r="J402" s="24">
        <f t="shared" si="30"/>
        <v>52.51</v>
      </c>
      <c r="K402" s="24">
        <v>8.69</v>
      </c>
      <c r="L402" s="25">
        <f t="shared" si="31"/>
        <v>61.199999999999996</v>
      </c>
    </row>
    <row r="403" spans="1:12">
      <c r="A403" s="27">
        <v>47</v>
      </c>
      <c r="B403" s="45">
        <v>200944070</v>
      </c>
      <c r="C403" s="60" t="s">
        <v>422</v>
      </c>
      <c r="D403" s="24">
        <v>4.7</v>
      </c>
      <c r="E403" s="24">
        <v>4.3</v>
      </c>
      <c r="F403" s="24">
        <v>0</v>
      </c>
      <c r="G403" s="24">
        <v>0</v>
      </c>
      <c r="H403" s="24">
        <v>0</v>
      </c>
      <c r="I403" s="83">
        <v>4.29</v>
      </c>
      <c r="J403" s="24">
        <f t="shared" si="30"/>
        <v>13.29</v>
      </c>
      <c r="K403" s="24" t="s">
        <v>475</v>
      </c>
      <c r="L403" s="25">
        <f>+J403</f>
        <v>13.29</v>
      </c>
    </row>
    <row r="404" spans="1:12">
      <c r="A404" s="27">
        <v>48</v>
      </c>
      <c r="B404" s="45">
        <v>200946028</v>
      </c>
      <c r="C404" s="60" t="s">
        <v>423</v>
      </c>
      <c r="D404" s="24">
        <v>2.75</v>
      </c>
      <c r="E404" s="24">
        <v>0</v>
      </c>
      <c r="F404" s="24">
        <v>2.6</v>
      </c>
      <c r="G404" s="24">
        <v>0</v>
      </c>
      <c r="H404" s="24">
        <v>0</v>
      </c>
      <c r="I404" s="83">
        <v>7.52</v>
      </c>
      <c r="J404" s="24">
        <f t="shared" si="30"/>
        <v>12.87</v>
      </c>
      <c r="K404" s="24" t="s">
        <v>475</v>
      </c>
      <c r="L404" s="25">
        <f t="shared" ref="L404:L406" si="35">+J404</f>
        <v>12.87</v>
      </c>
    </row>
    <row r="405" spans="1:12">
      <c r="A405" s="27">
        <v>49</v>
      </c>
      <c r="B405" s="45">
        <v>200980056</v>
      </c>
      <c r="C405" s="60" t="s">
        <v>424</v>
      </c>
      <c r="D405" s="24">
        <v>0</v>
      </c>
      <c r="E405" s="24">
        <v>1.45</v>
      </c>
      <c r="F405" s="24">
        <v>0.7</v>
      </c>
      <c r="G405" s="24">
        <v>0</v>
      </c>
      <c r="H405" s="24">
        <v>0</v>
      </c>
      <c r="I405" s="83">
        <v>0.22</v>
      </c>
      <c r="J405" s="24">
        <f t="shared" si="30"/>
        <v>2.37</v>
      </c>
      <c r="K405" s="24" t="s">
        <v>475</v>
      </c>
      <c r="L405" s="25">
        <f t="shared" si="35"/>
        <v>2.37</v>
      </c>
    </row>
    <row r="406" spans="1:12">
      <c r="A406" s="27">
        <v>50</v>
      </c>
      <c r="B406" s="45">
        <v>200946343</v>
      </c>
      <c r="C406" s="60" t="s">
        <v>425</v>
      </c>
      <c r="D406" s="24">
        <v>4.78</v>
      </c>
      <c r="E406" s="24">
        <v>3.85</v>
      </c>
      <c r="F406" s="24">
        <v>4</v>
      </c>
      <c r="G406" s="24">
        <v>5.67</v>
      </c>
      <c r="H406" s="24">
        <v>0</v>
      </c>
      <c r="I406" s="83">
        <v>11.31</v>
      </c>
      <c r="J406" s="24">
        <f t="shared" si="30"/>
        <v>29.610000000000003</v>
      </c>
      <c r="K406" s="24" t="s">
        <v>475</v>
      </c>
      <c r="L406" s="25">
        <f t="shared" si="35"/>
        <v>29.610000000000003</v>
      </c>
    </row>
    <row r="407" spans="1:12">
      <c r="A407" s="29"/>
      <c r="B407" s="29"/>
      <c r="C407" s="30"/>
      <c r="D407" s="31"/>
      <c r="E407" s="31"/>
      <c r="F407" s="31"/>
      <c r="G407" s="31"/>
      <c r="H407" s="31"/>
      <c r="I407" s="31"/>
      <c r="J407" s="31"/>
    </row>
    <row r="408" spans="1:12">
      <c r="A408" s="29"/>
      <c r="B408" s="29"/>
      <c r="C408" s="30"/>
      <c r="D408" s="31"/>
      <c r="E408" s="31"/>
      <c r="F408" s="31"/>
      <c r="G408" s="31"/>
      <c r="H408" s="31"/>
      <c r="I408" s="31"/>
      <c r="J408" s="31"/>
    </row>
    <row r="409" spans="1:12" ht="17.25" thickBot="1">
      <c r="A409" s="33"/>
      <c r="B409" s="33"/>
      <c r="C409" s="34"/>
      <c r="D409" s="31"/>
      <c r="E409" s="31"/>
      <c r="F409" s="31"/>
      <c r="G409" s="31"/>
      <c r="H409" s="35"/>
      <c r="I409" s="35"/>
      <c r="J409" s="35"/>
    </row>
    <row r="410" spans="1:12">
      <c r="H410" s="100" t="s">
        <v>434</v>
      </c>
      <c r="I410" s="100"/>
      <c r="J410" s="100"/>
    </row>
    <row r="411" spans="1:12">
      <c r="D411" s="36"/>
      <c r="H411" s="100" t="s">
        <v>430</v>
      </c>
      <c r="I411" s="100"/>
      <c r="J411" s="100"/>
    </row>
    <row r="412" spans="1:12">
      <c r="D412" s="36"/>
      <c r="H412" s="100" t="s">
        <v>431</v>
      </c>
      <c r="I412" s="100"/>
      <c r="J412" s="100"/>
    </row>
    <row r="431" spans="1:9" ht="17.25" thickBot="1">
      <c r="A431" s="1" t="s">
        <v>0</v>
      </c>
      <c r="I431" s="3"/>
    </row>
    <row r="432" spans="1:9">
      <c r="A432" s="1" t="s">
        <v>1</v>
      </c>
      <c r="F432" s="4"/>
      <c r="G432" s="5"/>
      <c r="H432" s="6"/>
      <c r="I432" s="7"/>
    </row>
    <row r="433" spans="1:12">
      <c r="A433" s="8" t="s">
        <v>2</v>
      </c>
      <c r="B433" s="9"/>
      <c r="E433" s="7"/>
      <c r="F433" s="10"/>
      <c r="G433" s="11"/>
      <c r="H433" s="12"/>
      <c r="I433" s="7"/>
    </row>
    <row r="434" spans="1:12" ht="17.25" thickBot="1">
      <c r="A434" s="13" t="s">
        <v>3</v>
      </c>
      <c r="B434" s="9"/>
      <c r="E434" s="7"/>
      <c r="F434" s="10"/>
      <c r="G434" s="11"/>
      <c r="H434" s="12"/>
      <c r="I434" s="7"/>
    </row>
    <row r="435" spans="1:12" ht="17.25" thickBot="1">
      <c r="A435" s="14" t="s">
        <v>22</v>
      </c>
      <c r="B435" s="15"/>
      <c r="C435" s="16"/>
      <c r="E435" s="7"/>
      <c r="F435" s="17"/>
      <c r="G435" s="18"/>
      <c r="H435" s="19"/>
      <c r="I435" s="7"/>
    </row>
    <row r="436" spans="1:12">
      <c r="A436" s="8"/>
      <c r="B436" s="9"/>
      <c r="E436" s="7"/>
      <c r="I436" s="3"/>
    </row>
    <row r="437" spans="1:12">
      <c r="A437" s="1" t="s">
        <v>91</v>
      </c>
      <c r="B437" s="9"/>
      <c r="C437" s="20" t="s">
        <v>300</v>
      </c>
      <c r="E437" s="7"/>
      <c r="I437" s="3"/>
    </row>
    <row r="438" spans="1:12">
      <c r="A438" s="1" t="s">
        <v>4</v>
      </c>
      <c r="C438" s="20" t="s">
        <v>426</v>
      </c>
      <c r="I438" s="3"/>
    </row>
    <row r="439" spans="1:12">
      <c r="A439" s="1" t="s">
        <v>5</v>
      </c>
      <c r="C439" s="20" t="s">
        <v>427</v>
      </c>
    </row>
    <row r="440" spans="1:12">
      <c r="A440" s="21"/>
      <c r="B440" s="21"/>
      <c r="C440" s="21"/>
      <c r="D440" s="21"/>
      <c r="E440" s="21"/>
      <c r="F440" s="21"/>
      <c r="G440" s="21"/>
      <c r="H440" s="21"/>
      <c r="I440" s="21"/>
      <c r="J440" s="21"/>
    </row>
    <row r="441" spans="1:12">
      <c r="A441" s="1"/>
      <c r="C441" s="22" t="s">
        <v>6</v>
      </c>
      <c r="D441" s="22" t="s">
        <v>435</v>
      </c>
      <c r="E441" s="22" t="s">
        <v>435</v>
      </c>
      <c r="F441" s="22" t="s">
        <v>435</v>
      </c>
      <c r="G441" s="22" t="s">
        <v>435</v>
      </c>
      <c r="H441" s="22" t="s">
        <v>435</v>
      </c>
      <c r="I441" s="22" t="s">
        <v>7</v>
      </c>
      <c r="J441" s="22" t="s">
        <v>8</v>
      </c>
      <c r="K441" s="22" t="s">
        <v>7</v>
      </c>
      <c r="L441" s="22" t="s">
        <v>9</v>
      </c>
    </row>
    <row r="442" spans="1:12">
      <c r="A442" s="22" t="s">
        <v>10</v>
      </c>
      <c r="B442" s="22" t="s">
        <v>11</v>
      </c>
      <c r="C442" s="22" t="s">
        <v>12</v>
      </c>
      <c r="D442" s="22" t="s">
        <v>13</v>
      </c>
      <c r="E442" s="22" t="s">
        <v>14</v>
      </c>
      <c r="F442" s="22" t="s">
        <v>15</v>
      </c>
      <c r="G442" s="22" t="s">
        <v>16</v>
      </c>
      <c r="H442" s="22" t="s">
        <v>17</v>
      </c>
      <c r="I442" s="22" t="s">
        <v>95</v>
      </c>
      <c r="J442" s="22" t="s">
        <v>18</v>
      </c>
      <c r="K442" s="22" t="s">
        <v>19</v>
      </c>
      <c r="L442" s="22" t="s">
        <v>20</v>
      </c>
    </row>
    <row r="443" spans="1:12">
      <c r="A443" s="23">
        <v>1</v>
      </c>
      <c r="B443" s="45">
        <v>200617648</v>
      </c>
      <c r="C443" s="56" t="s">
        <v>302</v>
      </c>
      <c r="D443" s="66">
        <v>4.63</v>
      </c>
      <c r="E443" s="24">
        <v>5.5</v>
      </c>
      <c r="F443" s="24">
        <v>2.4</v>
      </c>
      <c r="G443" s="24">
        <v>4.8499999999999996</v>
      </c>
      <c r="H443" s="24">
        <v>0</v>
      </c>
      <c r="I443" s="24">
        <v>6.85</v>
      </c>
      <c r="J443" s="24">
        <f>+I443+H443+G443+F443+E443+D443</f>
        <v>24.23</v>
      </c>
      <c r="K443" s="24" t="s">
        <v>475</v>
      </c>
      <c r="L443" s="25">
        <f>+J443</f>
        <v>24.23</v>
      </c>
    </row>
    <row r="444" spans="1:12">
      <c r="A444" s="26">
        <v>2</v>
      </c>
      <c r="B444" s="45">
        <v>200741790</v>
      </c>
      <c r="C444" s="56" t="s">
        <v>303</v>
      </c>
      <c r="D444" s="66">
        <v>2.4900000000000002</v>
      </c>
      <c r="E444" s="24">
        <v>2.1</v>
      </c>
      <c r="F444" s="24">
        <v>2.1</v>
      </c>
      <c r="G444" s="24">
        <v>0</v>
      </c>
      <c r="H444" s="24">
        <v>0</v>
      </c>
      <c r="I444" s="24">
        <v>4.75</v>
      </c>
      <c r="J444" s="24">
        <f>+I444+H444+G444+F444+E444+D444</f>
        <v>11.44</v>
      </c>
      <c r="K444" s="24" t="s">
        <v>475</v>
      </c>
      <c r="L444" s="25">
        <f>+J444</f>
        <v>11.44</v>
      </c>
    </row>
    <row r="445" spans="1:12">
      <c r="A445" s="27">
        <v>3</v>
      </c>
      <c r="B445" s="45">
        <v>200741812</v>
      </c>
      <c r="C445" s="56" t="s">
        <v>304</v>
      </c>
      <c r="D445" s="66">
        <v>4.1399999999999997</v>
      </c>
      <c r="E445" s="24">
        <v>3.35</v>
      </c>
      <c r="F445" s="24">
        <v>8.1999999999999993</v>
      </c>
      <c r="G445" s="24">
        <v>4.7699999999999996</v>
      </c>
      <c r="H445" s="24">
        <v>0</v>
      </c>
      <c r="I445" s="24">
        <v>10.3</v>
      </c>
      <c r="J445" s="24">
        <f t="shared" ref="J445:J498" si="36">+I445+H445+G445+F445+E445+D445</f>
        <v>30.76</v>
      </c>
      <c r="K445" s="24" t="s">
        <v>475</v>
      </c>
      <c r="L445" s="25">
        <f>+J445</f>
        <v>30.76</v>
      </c>
    </row>
    <row r="446" spans="1:12">
      <c r="A446" s="26">
        <v>4</v>
      </c>
      <c r="B446" s="45">
        <v>200741815</v>
      </c>
      <c r="C446" s="56" t="s">
        <v>305</v>
      </c>
      <c r="D446" s="65">
        <v>5.24</v>
      </c>
      <c r="E446" s="24">
        <v>6.5</v>
      </c>
      <c r="F446" s="24">
        <v>5.15</v>
      </c>
      <c r="G446" s="24">
        <v>6.75</v>
      </c>
      <c r="H446" s="24">
        <v>5.5</v>
      </c>
      <c r="I446" s="24">
        <v>18.399999999999999</v>
      </c>
      <c r="J446" s="24">
        <f t="shared" si="36"/>
        <v>47.54</v>
      </c>
      <c r="K446" s="24">
        <v>9</v>
      </c>
      <c r="L446" s="25">
        <f t="shared" ref="L446:L493" si="37">+K446+J446</f>
        <v>56.54</v>
      </c>
    </row>
    <row r="447" spans="1:12">
      <c r="A447" s="26">
        <v>5</v>
      </c>
      <c r="B447" s="45">
        <v>200741861</v>
      </c>
      <c r="C447" s="56" t="s">
        <v>306</v>
      </c>
      <c r="D447" s="66">
        <v>3.61</v>
      </c>
      <c r="E447" s="24">
        <v>8.5299999999999994</v>
      </c>
      <c r="F447" s="24">
        <v>9.65</v>
      </c>
      <c r="G447" s="24">
        <v>7.4</v>
      </c>
      <c r="H447" s="24">
        <v>8.73</v>
      </c>
      <c r="I447" s="24">
        <v>19.5</v>
      </c>
      <c r="J447" s="24">
        <f t="shared" si="36"/>
        <v>57.42</v>
      </c>
      <c r="K447" s="24">
        <v>10.23</v>
      </c>
      <c r="L447" s="25">
        <f t="shared" si="37"/>
        <v>67.650000000000006</v>
      </c>
    </row>
    <row r="448" spans="1:12">
      <c r="A448" s="26">
        <v>6</v>
      </c>
      <c r="B448" s="45">
        <v>200742802</v>
      </c>
      <c r="C448" s="56" t="s">
        <v>307</v>
      </c>
      <c r="D448" s="66">
        <v>6.59</v>
      </c>
      <c r="E448" s="24">
        <v>6.9</v>
      </c>
      <c r="F448" s="24">
        <v>8.5</v>
      </c>
      <c r="G448" s="24">
        <v>5.17</v>
      </c>
      <c r="H448" s="24">
        <v>0</v>
      </c>
      <c r="I448" s="24">
        <v>9.25</v>
      </c>
      <c r="J448" s="24">
        <f t="shared" si="36"/>
        <v>36.409999999999997</v>
      </c>
      <c r="K448" s="24" t="s">
        <v>475</v>
      </c>
      <c r="L448" s="25">
        <f>+J448</f>
        <v>36.409999999999997</v>
      </c>
    </row>
    <row r="449" spans="1:12">
      <c r="A449" s="26">
        <v>7</v>
      </c>
      <c r="B449" s="45">
        <v>200821585</v>
      </c>
      <c r="C449" s="59" t="s">
        <v>308</v>
      </c>
      <c r="D449" s="66">
        <v>1.53</v>
      </c>
      <c r="E449" s="24">
        <v>0.4</v>
      </c>
      <c r="F449" s="24">
        <v>0.2</v>
      </c>
      <c r="G449" s="24">
        <v>0</v>
      </c>
      <c r="H449" s="24">
        <v>0</v>
      </c>
      <c r="I449" s="24">
        <v>5.25</v>
      </c>
      <c r="J449" s="24">
        <f t="shared" si="36"/>
        <v>7.3800000000000008</v>
      </c>
      <c r="K449" s="24" t="s">
        <v>475</v>
      </c>
      <c r="L449" s="25">
        <f>+J449</f>
        <v>7.3800000000000008</v>
      </c>
    </row>
    <row r="450" spans="1:12">
      <c r="A450" s="26">
        <v>8</v>
      </c>
      <c r="B450" s="37">
        <v>200840049</v>
      </c>
      <c r="C450" s="51" t="s">
        <v>309</v>
      </c>
      <c r="D450" s="66">
        <v>6.16</v>
      </c>
      <c r="E450" s="24">
        <v>6.65</v>
      </c>
      <c r="F450" s="24">
        <v>8</v>
      </c>
      <c r="G450" s="24">
        <v>4.3499999999999996</v>
      </c>
      <c r="H450" s="24">
        <v>5.37</v>
      </c>
      <c r="I450" s="24">
        <v>17.100000000000001</v>
      </c>
      <c r="J450" s="24">
        <f t="shared" si="36"/>
        <v>47.629999999999995</v>
      </c>
      <c r="K450" s="24">
        <v>8.32</v>
      </c>
      <c r="L450" s="25">
        <f t="shared" si="37"/>
        <v>55.949999999999996</v>
      </c>
    </row>
    <row r="451" spans="1:12">
      <c r="A451" s="26">
        <v>9</v>
      </c>
      <c r="B451" s="45">
        <v>200841793</v>
      </c>
      <c r="C451" s="56" t="s">
        <v>313</v>
      </c>
      <c r="D451" s="66">
        <v>3.62</v>
      </c>
      <c r="E451" s="24">
        <v>3.6</v>
      </c>
      <c r="F451" s="24">
        <v>0.9</v>
      </c>
      <c r="G451" s="24">
        <v>0</v>
      </c>
      <c r="H451" s="24">
        <v>0</v>
      </c>
      <c r="I451" s="24">
        <v>6.25</v>
      </c>
      <c r="J451" s="24">
        <f t="shared" si="36"/>
        <v>14.370000000000001</v>
      </c>
      <c r="K451" s="24" t="s">
        <v>475</v>
      </c>
      <c r="L451" s="25">
        <f>+J451</f>
        <v>14.370000000000001</v>
      </c>
    </row>
    <row r="452" spans="1:12">
      <c r="A452" s="26">
        <v>10</v>
      </c>
      <c r="B452" s="45">
        <v>200842036</v>
      </c>
      <c r="C452" s="59" t="s">
        <v>314</v>
      </c>
      <c r="D452" s="66">
        <v>10.029999999999999</v>
      </c>
      <c r="E452" s="24">
        <v>5.6</v>
      </c>
      <c r="F452" s="24">
        <v>5.2</v>
      </c>
      <c r="G452" s="24">
        <v>0</v>
      </c>
      <c r="H452" s="24">
        <v>0</v>
      </c>
      <c r="I452" s="24">
        <v>5.25</v>
      </c>
      <c r="J452" s="24">
        <f t="shared" si="36"/>
        <v>26.08</v>
      </c>
      <c r="K452" s="24" t="s">
        <v>475</v>
      </c>
      <c r="L452" s="25">
        <f t="shared" ref="L452:L459" si="38">+J452</f>
        <v>26.08</v>
      </c>
    </row>
    <row r="453" spans="1:12">
      <c r="A453" s="26">
        <v>11</v>
      </c>
      <c r="B453" s="45">
        <v>200842047</v>
      </c>
      <c r="C453" s="56" t="s">
        <v>315</v>
      </c>
      <c r="D453" s="66">
        <v>3.38</v>
      </c>
      <c r="E453" s="24">
        <v>3.63</v>
      </c>
      <c r="F453" s="24">
        <v>2.42</v>
      </c>
      <c r="G453" s="24">
        <v>2.2999999999999998</v>
      </c>
      <c r="H453" s="24">
        <v>0</v>
      </c>
      <c r="I453" s="24">
        <v>8</v>
      </c>
      <c r="J453" s="24">
        <f t="shared" si="36"/>
        <v>19.73</v>
      </c>
      <c r="K453" s="24" t="s">
        <v>475</v>
      </c>
      <c r="L453" s="25">
        <f t="shared" si="38"/>
        <v>19.73</v>
      </c>
    </row>
    <row r="454" spans="1:12">
      <c r="A454" s="26">
        <v>12</v>
      </c>
      <c r="B454" s="45">
        <v>200842050</v>
      </c>
      <c r="C454" s="56" t="s">
        <v>316</v>
      </c>
      <c r="D454" s="66">
        <v>5.42</v>
      </c>
      <c r="E454" s="24">
        <v>6.55</v>
      </c>
      <c r="F454" s="24">
        <v>7.6</v>
      </c>
      <c r="G454" s="24">
        <v>0</v>
      </c>
      <c r="H454" s="28">
        <v>0</v>
      </c>
      <c r="I454" s="28">
        <v>7.5</v>
      </c>
      <c r="J454" s="24">
        <f t="shared" si="36"/>
        <v>27.07</v>
      </c>
      <c r="K454" s="24" t="s">
        <v>475</v>
      </c>
      <c r="L454" s="25">
        <f t="shared" si="38"/>
        <v>27.07</v>
      </c>
    </row>
    <row r="455" spans="1:12">
      <c r="A455" s="26">
        <v>13</v>
      </c>
      <c r="B455" s="45">
        <v>200842088</v>
      </c>
      <c r="C455" s="59" t="s">
        <v>321</v>
      </c>
      <c r="D455" s="66">
        <v>2.5499999999999998</v>
      </c>
      <c r="E455" s="24">
        <v>5</v>
      </c>
      <c r="F455" s="24">
        <v>0.4</v>
      </c>
      <c r="G455" s="24">
        <v>0.39</v>
      </c>
      <c r="H455" s="28">
        <v>0</v>
      </c>
      <c r="I455" s="28">
        <v>5.95</v>
      </c>
      <c r="J455" s="24">
        <f t="shared" si="36"/>
        <v>14.29</v>
      </c>
      <c r="K455" s="24" t="s">
        <v>475</v>
      </c>
      <c r="L455" s="25">
        <f t="shared" si="38"/>
        <v>14.29</v>
      </c>
    </row>
    <row r="456" spans="1:12">
      <c r="A456" s="26">
        <v>14</v>
      </c>
      <c r="B456" s="45">
        <v>200842091</v>
      </c>
      <c r="C456" s="60" t="s">
        <v>322</v>
      </c>
      <c r="D456" s="66">
        <v>3.5</v>
      </c>
      <c r="E456" s="24">
        <v>2.5</v>
      </c>
      <c r="F456" s="24">
        <v>5.08</v>
      </c>
      <c r="G456" s="24">
        <v>0.69</v>
      </c>
      <c r="H456" s="28">
        <v>0</v>
      </c>
      <c r="I456" s="28">
        <v>6.5</v>
      </c>
      <c r="J456" s="24">
        <f t="shared" si="36"/>
        <v>18.27</v>
      </c>
      <c r="K456" s="24" t="s">
        <v>475</v>
      </c>
      <c r="L456" s="25">
        <f t="shared" si="38"/>
        <v>18.27</v>
      </c>
    </row>
    <row r="457" spans="1:12">
      <c r="A457" s="23">
        <v>15</v>
      </c>
      <c r="B457" s="45">
        <v>200842106</v>
      </c>
      <c r="C457" s="56" t="s">
        <v>323</v>
      </c>
      <c r="D457" s="66">
        <v>2.99</v>
      </c>
      <c r="E457" s="24">
        <v>0.4</v>
      </c>
      <c r="F457" s="24">
        <v>0.2</v>
      </c>
      <c r="G457" s="24">
        <v>0.13</v>
      </c>
      <c r="H457" s="28">
        <v>0</v>
      </c>
      <c r="I457" s="28">
        <v>6.05</v>
      </c>
      <c r="J457" s="24">
        <f t="shared" si="36"/>
        <v>9.77</v>
      </c>
      <c r="K457" s="24" t="s">
        <v>475</v>
      </c>
      <c r="L457" s="25">
        <f t="shared" si="38"/>
        <v>9.77</v>
      </c>
    </row>
    <row r="458" spans="1:12">
      <c r="A458" s="23">
        <v>16</v>
      </c>
      <c r="B458" s="45">
        <v>200842108</v>
      </c>
      <c r="C458" s="56" t="s">
        <v>324</v>
      </c>
      <c r="D458" s="66">
        <v>3.73</v>
      </c>
      <c r="E458" s="24">
        <v>3.75</v>
      </c>
      <c r="F458" s="24">
        <v>3.4</v>
      </c>
      <c r="G458" s="24">
        <v>2.8</v>
      </c>
      <c r="H458" s="24">
        <v>0</v>
      </c>
      <c r="I458" s="24">
        <v>6.8</v>
      </c>
      <c r="J458" s="24">
        <f t="shared" si="36"/>
        <v>20.48</v>
      </c>
      <c r="K458" s="24" t="s">
        <v>475</v>
      </c>
      <c r="L458" s="25">
        <f t="shared" si="38"/>
        <v>20.48</v>
      </c>
    </row>
    <row r="459" spans="1:12">
      <c r="A459" s="23">
        <v>17</v>
      </c>
      <c r="B459" s="45">
        <v>200842128</v>
      </c>
      <c r="C459" s="58" t="s">
        <v>325</v>
      </c>
      <c r="D459" s="66">
        <v>4.01</v>
      </c>
      <c r="E459" s="24">
        <v>1.95</v>
      </c>
      <c r="F459" s="24">
        <v>3.1</v>
      </c>
      <c r="G459" s="24">
        <v>0.27</v>
      </c>
      <c r="H459" s="24">
        <v>0</v>
      </c>
      <c r="I459" s="24">
        <v>6.5</v>
      </c>
      <c r="J459" s="24">
        <f t="shared" si="36"/>
        <v>15.829999999999998</v>
      </c>
      <c r="K459" s="24" t="s">
        <v>475</v>
      </c>
      <c r="L459" s="25">
        <f t="shared" si="38"/>
        <v>15.829999999999998</v>
      </c>
    </row>
    <row r="460" spans="1:12">
      <c r="A460" s="23">
        <v>18</v>
      </c>
      <c r="B460" s="45">
        <v>200842131</v>
      </c>
      <c r="C460" s="56" t="s">
        <v>326</v>
      </c>
      <c r="D460" s="66">
        <v>3.38</v>
      </c>
      <c r="E460" s="24">
        <v>6.88</v>
      </c>
      <c r="F460" s="24">
        <v>6.4</v>
      </c>
      <c r="G460" s="24">
        <v>5.32</v>
      </c>
      <c r="H460" s="24">
        <v>7.03</v>
      </c>
      <c r="I460" s="24">
        <v>18.25</v>
      </c>
      <c r="J460" s="24">
        <f t="shared" si="36"/>
        <v>47.260000000000005</v>
      </c>
      <c r="K460" s="24">
        <v>11.6</v>
      </c>
      <c r="L460" s="25">
        <f t="shared" si="37"/>
        <v>58.860000000000007</v>
      </c>
    </row>
    <row r="461" spans="1:12">
      <c r="A461" s="27">
        <v>19</v>
      </c>
      <c r="B461" s="45">
        <v>200842133</v>
      </c>
      <c r="C461" s="56" t="s">
        <v>327</v>
      </c>
      <c r="D461" s="66">
        <v>4.6399999999999997</v>
      </c>
      <c r="E461" s="24">
        <v>0</v>
      </c>
      <c r="F461" s="24">
        <v>0</v>
      </c>
      <c r="G461" s="24">
        <v>0</v>
      </c>
      <c r="H461" s="24">
        <v>0</v>
      </c>
      <c r="I461" s="24">
        <v>2.5</v>
      </c>
      <c r="J461" s="24">
        <f t="shared" si="36"/>
        <v>7.14</v>
      </c>
      <c r="K461" s="24" t="s">
        <v>475</v>
      </c>
      <c r="L461" s="25">
        <f>+J461</f>
        <v>7.14</v>
      </c>
    </row>
    <row r="462" spans="1:12">
      <c r="A462" s="27">
        <v>20</v>
      </c>
      <c r="B462" s="45">
        <v>200842211</v>
      </c>
      <c r="C462" s="56" t="s">
        <v>328</v>
      </c>
      <c r="D462" s="66">
        <v>4.33</v>
      </c>
      <c r="E462" s="24">
        <v>5.83</v>
      </c>
      <c r="F462" s="24">
        <v>6.2</v>
      </c>
      <c r="G462" s="24">
        <v>5.44</v>
      </c>
      <c r="H462" s="24">
        <v>3.73</v>
      </c>
      <c r="I462" s="24">
        <v>17.649999999999999</v>
      </c>
      <c r="J462" s="24">
        <f t="shared" si="36"/>
        <v>43.18</v>
      </c>
      <c r="K462" s="24">
        <v>10.35</v>
      </c>
      <c r="L462" s="25">
        <f t="shared" si="37"/>
        <v>53.53</v>
      </c>
    </row>
    <row r="463" spans="1:12">
      <c r="A463" s="27">
        <v>21</v>
      </c>
      <c r="B463" s="45">
        <v>200842251</v>
      </c>
      <c r="C463" s="56" t="s">
        <v>329</v>
      </c>
      <c r="D463" s="66">
        <v>5.29</v>
      </c>
      <c r="E463" s="24">
        <v>5.95</v>
      </c>
      <c r="F463" s="24">
        <v>7.65</v>
      </c>
      <c r="G463" s="24">
        <v>5.95</v>
      </c>
      <c r="H463" s="24">
        <v>8.66</v>
      </c>
      <c r="I463" s="24">
        <v>17.75</v>
      </c>
      <c r="J463" s="24">
        <f t="shared" si="36"/>
        <v>51.25</v>
      </c>
      <c r="K463" s="24">
        <v>16.3</v>
      </c>
      <c r="L463" s="25">
        <f t="shared" si="37"/>
        <v>67.55</v>
      </c>
    </row>
    <row r="464" spans="1:12">
      <c r="A464" s="27">
        <v>22</v>
      </c>
      <c r="B464" s="45">
        <v>200843352</v>
      </c>
      <c r="C464" s="60" t="s">
        <v>330</v>
      </c>
      <c r="D464" s="66">
        <v>5.2</v>
      </c>
      <c r="E464" s="24">
        <v>6.81</v>
      </c>
      <c r="F464" s="24">
        <v>7.3</v>
      </c>
      <c r="G464" s="24">
        <v>6.1</v>
      </c>
      <c r="H464" s="24">
        <v>6.26</v>
      </c>
      <c r="I464" s="24">
        <v>17.7</v>
      </c>
      <c r="J464" s="24">
        <f t="shared" si="36"/>
        <v>49.370000000000005</v>
      </c>
      <c r="K464" s="24">
        <v>4</v>
      </c>
      <c r="L464" s="25">
        <f t="shared" si="37"/>
        <v>53.370000000000005</v>
      </c>
    </row>
    <row r="465" spans="1:12">
      <c r="A465" s="27">
        <v>23</v>
      </c>
      <c r="B465" s="45">
        <v>200843401</v>
      </c>
      <c r="C465" s="56" t="s">
        <v>331</v>
      </c>
      <c r="D465" s="66">
        <v>3.13</v>
      </c>
      <c r="E465" s="24">
        <v>1.25</v>
      </c>
      <c r="F465" s="24">
        <v>5.9</v>
      </c>
      <c r="G465" s="24">
        <v>1</v>
      </c>
      <c r="H465" s="24">
        <v>0</v>
      </c>
      <c r="I465" s="24">
        <v>7.35</v>
      </c>
      <c r="J465" s="24">
        <f t="shared" si="36"/>
        <v>18.63</v>
      </c>
      <c r="K465" s="24" t="s">
        <v>475</v>
      </c>
      <c r="L465" s="25">
        <f>+J465</f>
        <v>18.63</v>
      </c>
    </row>
    <row r="466" spans="1:12">
      <c r="A466" s="27">
        <v>24</v>
      </c>
      <c r="B466" s="45">
        <v>200843480</v>
      </c>
      <c r="C466" s="56" t="s">
        <v>332</v>
      </c>
      <c r="D466" s="66">
        <v>3.29</v>
      </c>
      <c r="E466" s="24">
        <v>8.75</v>
      </c>
      <c r="F466" s="24">
        <v>6.31</v>
      </c>
      <c r="G466" s="24">
        <v>2.9</v>
      </c>
      <c r="H466" s="24">
        <v>4.3</v>
      </c>
      <c r="I466" s="24">
        <v>18.100000000000001</v>
      </c>
      <c r="J466" s="24">
        <f t="shared" si="36"/>
        <v>43.65</v>
      </c>
      <c r="K466" s="24">
        <v>10.4</v>
      </c>
      <c r="L466" s="25">
        <f t="shared" si="37"/>
        <v>54.05</v>
      </c>
    </row>
    <row r="467" spans="1:12">
      <c r="A467" s="27">
        <v>25</v>
      </c>
      <c r="B467" s="45">
        <v>200844524</v>
      </c>
      <c r="C467" s="56" t="s">
        <v>333</v>
      </c>
      <c r="D467" s="66">
        <v>4.25</v>
      </c>
      <c r="E467" s="24">
        <v>4.25</v>
      </c>
      <c r="F467" s="24">
        <v>7.3</v>
      </c>
      <c r="G467" s="24">
        <v>7.65</v>
      </c>
      <c r="H467" s="24">
        <v>3.47</v>
      </c>
      <c r="I467" s="24">
        <v>17.989999999999998</v>
      </c>
      <c r="J467" s="24">
        <f t="shared" si="36"/>
        <v>44.91</v>
      </c>
      <c r="K467" s="24">
        <v>9.8000000000000007</v>
      </c>
      <c r="L467" s="25">
        <f t="shared" si="37"/>
        <v>54.709999999999994</v>
      </c>
    </row>
    <row r="468" spans="1:12">
      <c r="A468" s="27">
        <v>26</v>
      </c>
      <c r="B468" s="45">
        <v>200940329</v>
      </c>
      <c r="C468" s="56" t="s">
        <v>334</v>
      </c>
      <c r="D468" s="66">
        <v>2.3199999999999998</v>
      </c>
      <c r="E468" s="24">
        <v>5</v>
      </c>
      <c r="F468" s="24">
        <v>6.5</v>
      </c>
      <c r="G468" s="24">
        <v>5.57</v>
      </c>
      <c r="H468" s="24">
        <v>4.42</v>
      </c>
      <c r="I468" s="24">
        <v>18.239999999999998</v>
      </c>
      <c r="J468" s="24">
        <f t="shared" si="36"/>
        <v>42.05</v>
      </c>
      <c r="K468" s="24">
        <v>12.86</v>
      </c>
      <c r="L468" s="25">
        <f>+K468+J468</f>
        <v>54.91</v>
      </c>
    </row>
    <row r="469" spans="1:12">
      <c r="A469" s="27">
        <v>27</v>
      </c>
      <c r="B469" s="45">
        <v>200940434</v>
      </c>
      <c r="C469" s="60" t="s">
        <v>335</v>
      </c>
      <c r="D469" s="66">
        <v>4.71</v>
      </c>
      <c r="E469" s="24">
        <v>8.0500000000000007</v>
      </c>
      <c r="F469" s="24">
        <v>2.2999999999999998</v>
      </c>
      <c r="G469" s="24">
        <v>7.57</v>
      </c>
      <c r="H469" s="24">
        <v>8.66</v>
      </c>
      <c r="I469" s="24">
        <v>18.05</v>
      </c>
      <c r="J469" s="24">
        <f t="shared" si="36"/>
        <v>49.339999999999996</v>
      </c>
      <c r="K469" s="24">
        <v>12.54</v>
      </c>
      <c r="L469" s="25">
        <f t="shared" si="37"/>
        <v>61.879999999999995</v>
      </c>
    </row>
    <row r="470" spans="1:12">
      <c r="A470" s="27">
        <v>28</v>
      </c>
      <c r="B470" s="37">
        <v>200940498</v>
      </c>
      <c r="C470" s="51" t="s">
        <v>336</v>
      </c>
      <c r="D470" s="66">
        <v>4.87</v>
      </c>
      <c r="E470" s="24">
        <v>4.95</v>
      </c>
      <c r="F470" s="24">
        <v>1.7</v>
      </c>
      <c r="G470" s="24">
        <v>4.03</v>
      </c>
      <c r="H470" s="24">
        <v>2.94</v>
      </c>
      <c r="I470" s="24">
        <v>17.3</v>
      </c>
      <c r="J470" s="24">
        <f t="shared" si="36"/>
        <v>35.79</v>
      </c>
      <c r="K470" s="24" t="s">
        <v>475</v>
      </c>
      <c r="L470" s="25">
        <f>+J470</f>
        <v>35.79</v>
      </c>
    </row>
    <row r="471" spans="1:12">
      <c r="A471" s="27">
        <v>29</v>
      </c>
      <c r="B471" s="37">
        <v>200940524</v>
      </c>
      <c r="C471" s="53" t="s">
        <v>337</v>
      </c>
      <c r="D471" s="66">
        <v>3.28</v>
      </c>
      <c r="E471" s="24">
        <v>7.63</v>
      </c>
      <c r="F471" s="24">
        <v>8.6999999999999993</v>
      </c>
      <c r="G471" s="24">
        <v>8.93</v>
      </c>
      <c r="H471" s="24">
        <v>7.1</v>
      </c>
      <c r="I471" s="24">
        <v>17.25</v>
      </c>
      <c r="J471" s="24">
        <f t="shared" si="36"/>
        <v>52.890000000000008</v>
      </c>
      <c r="K471" s="24">
        <v>11.23</v>
      </c>
      <c r="L471" s="25">
        <f t="shared" si="37"/>
        <v>64.12</v>
      </c>
    </row>
    <row r="472" spans="1:12">
      <c r="A472" s="27">
        <v>30</v>
      </c>
      <c r="B472" s="45">
        <v>200940708</v>
      </c>
      <c r="C472" s="56" t="s">
        <v>338</v>
      </c>
      <c r="D472" s="66">
        <v>4.04</v>
      </c>
      <c r="E472" s="24">
        <v>1.1000000000000001</v>
      </c>
      <c r="F472" s="24">
        <v>1.5</v>
      </c>
      <c r="G472" s="24">
        <v>0</v>
      </c>
      <c r="H472" s="24">
        <v>0</v>
      </c>
      <c r="I472" s="24">
        <v>4.75</v>
      </c>
      <c r="J472" s="24">
        <f t="shared" si="36"/>
        <v>11.39</v>
      </c>
      <c r="K472" s="24" t="s">
        <v>475</v>
      </c>
      <c r="L472" s="25">
        <f>+J472</f>
        <v>11.39</v>
      </c>
    </row>
    <row r="473" spans="1:12">
      <c r="A473" s="27">
        <v>31</v>
      </c>
      <c r="B473" s="45">
        <v>200941405</v>
      </c>
      <c r="C473" s="56" t="s">
        <v>339</v>
      </c>
      <c r="D473" s="66">
        <v>4.49</v>
      </c>
      <c r="E473" s="24">
        <v>3.1</v>
      </c>
      <c r="F473" s="24">
        <v>8.6</v>
      </c>
      <c r="G473" s="24">
        <v>4.82</v>
      </c>
      <c r="H473" s="24">
        <v>6.4</v>
      </c>
      <c r="I473" s="24">
        <v>17.5</v>
      </c>
      <c r="J473" s="24">
        <f t="shared" si="36"/>
        <v>44.910000000000004</v>
      </c>
      <c r="K473" s="24">
        <v>5.6</v>
      </c>
      <c r="L473" s="25">
        <f t="shared" si="37"/>
        <v>50.510000000000005</v>
      </c>
    </row>
    <row r="474" spans="1:12">
      <c r="A474" s="27">
        <v>32</v>
      </c>
      <c r="B474" s="57">
        <v>200941695</v>
      </c>
      <c r="C474" s="60" t="s">
        <v>340</v>
      </c>
      <c r="D474" s="66">
        <v>3.51</v>
      </c>
      <c r="E474" s="24">
        <v>3.95</v>
      </c>
      <c r="F474" s="24">
        <v>3.53</v>
      </c>
      <c r="G474" s="24">
        <v>3.27</v>
      </c>
      <c r="H474" s="24">
        <v>0</v>
      </c>
      <c r="I474" s="24">
        <v>6.75</v>
      </c>
      <c r="J474" s="24">
        <f t="shared" si="36"/>
        <v>21.009999999999998</v>
      </c>
      <c r="K474" s="24" t="s">
        <v>475</v>
      </c>
      <c r="L474" s="25">
        <f>+J474</f>
        <v>21.009999999999998</v>
      </c>
    </row>
    <row r="475" spans="1:12">
      <c r="A475" s="27">
        <v>33</v>
      </c>
      <c r="B475" s="45">
        <v>200942683</v>
      </c>
      <c r="C475" s="59" t="s">
        <v>341</v>
      </c>
      <c r="D475" s="66">
        <v>11.26</v>
      </c>
      <c r="E475" s="24">
        <v>7.5</v>
      </c>
      <c r="F475" s="24">
        <v>8.5</v>
      </c>
      <c r="G475" s="24">
        <v>5.5</v>
      </c>
      <c r="H475" s="24">
        <v>8.7899999999999991</v>
      </c>
      <c r="I475" s="24">
        <v>16.75</v>
      </c>
      <c r="J475" s="24">
        <f t="shared" si="36"/>
        <v>58.3</v>
      </c>
      <c r="K475" s="24">
        <v>10.9</v>
      </c>
      <c r="L475" s="25">
        <f t="shared" si="37"/>
        <v>69.2</v>
      </c>
    </row>
    <row r="476" spans="1:12">
      <c r="A476" s="27">
        <v>34</v>
      </c>
      <c r="B476" s="45">
        <v>200943123</v>
      </c>
      <c r="C476" s="56" t="s">
        <v>342</v>
      </c>
      <c r="D476" s="66">
        <v>1.18</v>
      </c>
      <c r="E476" s="24">
        <v>3.05</v>
      </c>
      <c r="F476" s="24">
        <v>2.9</v>
      </c>
      <c r="G476" s="24">
        <v>3.21</v>
      </c>
      <c r="H476" s="24">
        <v>0</v>
      </c>
      <c r="I476" s="24">
        <v>4.5</v>
      </c>
      <c r="J476" s="24">
        <f t="shared" si="36"/>
        <v>14.84</v>
      </c>
      <c r="K476" s="24" t="s">
        <v>475</v>
      </c>
      <c r="L476" s="25">
        <f>+J476</f>
        <v>14.84</v>
      </c>
    </row>
    <row r="477" spans="1:12">
      <c r="A477" s="27">
        <v>35</v>
      </c>
      <c r="B477" s="45">
        <v>200943127</v>
      </c>
      <c r="C477" s="59" t="s">
        <v>343</v>
      </c>
      <c r="D477" s="66">
        <v>8.31</v>
      </c>
      <c r="E477" s="24">
        <v>4.25</v>
      </c>
      <c r="F477" s="24">
        <v>2.93</v>
      </c>
      <c r="G477" s="24">
        <v>4.4400000000000004</v>
      </c>
      <c r="H477" s="24">
        <v>4.97</v>
      </c>
      <c r="I477" s="24">
        <v>17</v>
      </c>
      <c r="J477" s="24">
        <f t="shared" si="36"/>
        <v>41.900000000000006</v>
      </c>
      <c r="K477" s="24">
        <v>8.66</v>
      </c>
      <c r="L477" s="25">
        <f>+K477+J477</f>
        <v>50.56</v>
      </c>
    </row>
    <row r="478" spans="1:12">
      <c r="A478" s="27">
        <v>36</v>
      </c>
      <c r="B478" s="45">
        <v>200943365</v>
      </c>
      <c r="C478" s="56" t="s">
        <v>344</v>
      </c>
      <c r="D478" s="66">
        <v>3.26</v>
      </c>
      <c r="E478" s="24">
        <v>6.35</v>
      </c>
      <c r="F478" s="24">
        <v>4.5</v>
      </c>
      <c r="G478" s="24">
        <v>0</v>
      </c>
      <c r="H478" s="24">
        <v>0</v>
      </c>
      <c r="I478" s="24">
        <v>5.5</v>
      </c>
      <c r="J478" s="24">
        <f t="shared" si="36"/>
        <v>19.61</v>
      </c>
      <c r="K478" s="24" t="s">
        <v>475</v>
      </c>
      <c r="L478" s="25">
        <f t="shared" ref="L478:L482" si="39">+J478</f>
        <v>19.61</v>
      </c>
    </row>
    <row r="479" spans="1:12">
      <c r="A479" s="27">
        <v>37</v>
      </c>
      <c r="B479" s="45">
        <v>200943369</v>
      </c>
      <c r="C479" s="56" t="s">
        <v>345</v>
      </c>
      <c r="D479" s="66">
        <v>2</v>
      </c>
      <c r="E479" s="24">
        <v>2.8</v>
      </c>
      <c r="F479" s="24">
        <v>0</v>
      </c>
      <c r="G479" s="24">
        <v>0</v>
      </c>
      <c r="H479" s="24">
        <v>0</v>
      </c>
      <c r="I479" s="24">
        <v>2.5</v>
      </c>
      <c r="J479" s="24">
        <f t="shared" si="36"/>
        <v>7.3</v>
      </c>
      <c r="K479" s="24" t="s">
        <v>475</v>
      </c>
      <c r="L479" s="25">
        <f t="shared" si="39"/>
        <v>7.3</v>
      </c>
    </row>
    <row r="480" spans="1:12">
      <c r="A480" s="27">
        <v>38</v>
      </c>
      <c r="B480" s="45">
        <v>200943628</v>
      </c>
      <c r="C480" s="56" t="s">
        <v>346</v>
      </c>
      <c r="D480" s="66">
        <v>3.26</v>
      </c>
      <c r="E480" s="24">
        <v>5.05</v>
      </c>
      <c r="F480" s="24">
        <v>1.9</v>
      </c>
      <c r="G480" s="24">
        <v>4.4400000000000004</v>
      </c>
      <c r="H480" s="24">
        <v>5.7</v>
      </c>
      <c r="I480" s="24">
        <v>15.85</v>
      </c>
      <c r="J480" s="24">
        <f t="shared" si="36"/>
        <v>36.199999999999996</v>
      </c>
      <c r="K480" s="24" t="s">
        <v>475</v>
      </c>
      <c r="L480" s="25">
        <f t="shared" si="39"/>
        <v>36.199999999999996</v>
      </c>
    </row>
    <row r="481" spans="1:12">
      <c r="A481" s="27">
        <v>39</v>
      </c>
      <c r="B481" s="45">
        <v>200943630</v>
      </c>
      <c r="C481" s="56" t="s">
        <v>347</v>
      </c>
      <c r="D481" s="66">
        <v>3.98</v>
      </c>
      <c r="E481" s="24">
        <v>2.8</v>
      </c>
      <c r="F481" s="24">
        <v>0.35</v>
      </c>
      <c r="G481" s="24">
        <v>3.02</v>
      </c>
      <c r="H481" s="24">
        <v>0</v>
      </c>
      <c r="I481" s="24">
        <v>4.25</v>
      </c>
      <c r="J481" s="24">
        <f t="shared" si="36"/>
        <v>14.399999999999999</v>
      </c>
      <c r="K481" s="24" t="s">
        <v>475</v>
      </c>
      <c r="L481" s="25">
        <f t="shared" si="39"/>
        <v>14.399999999999999</v>
      </c>
    </row>
    <row r="482" spans="1:12">
      <c r="A482" s="27">
        <v>40</v>
      </c>
      <c r="B482" s="45">
        <v>200943634</v>
      </c>
      <c r="C482" s="56" t="s">
        <v>348</v>
      </c>
      <c r="D482" s="66">
        <v>2.39</v>
      </c>
      <c r="E482" s="24">
        <v>3.45</v>
      </c>
      <c r="F482" s="24">
        <v>3.9</v>
      </c>
      <c r="G482" s="24">
        <v>0.13</v>
      </c>
      <c r="H482" s="24">
        <v>0</v>
      </c>
      <c r="I482" s="24">
        <v>4.5</v>
      </c>
      <c r="J482" s="24">
        <f t="shared" si="36"/>
        <v>14.370000000000001</v>
      </c>
      <c r="K482" s="24" t="s">
        <v>475</v>
      </c>
      <c r="L482" s="25">
        <f t="shared" si="39"/>
        <v>14.370000000000001</v>
      </c>
    </row>
    <row r="483" spans="1:12">
      <c r="A483" s="27">
        <v>41</v>
      </c>
      <c r="B483" s="45">
        <v>200943637</v>
      </c>
      <c r="C483" s="56" t="s">
        <v>349</v>
      </c>
      <c r="D483" s="66">
        <v>7.88</v>
      </c>
      <c r="E483" s="24">
        <v>9.25</v>
      </c>
      <c r="F483" s="24">
        <v>9.6</v>
      </c>
      <c r="G483" s="24">
        <v>5.97</v>
      </c>
      <c r="H483" s="24">
        <v>3.56</v>
      </c>
      <c r="I483" s="24">
        <v>17.25</v>
      </c>
      <c r="J483" s="24">
        <f t="shared" si="36"/>
        <v>53.51</v>
      </c>
      <c r="K483" s="24">
        <v>12.72</v>
      </c>
      <c r="L483" s="25">
        <f t="shared" si="37"/>
        <v>66.23</v>
      </c>
    </row>
    <row r="484" spans="1:12">
      <c r="A484" s="27">
        <v>42</v>
      </c>
      <c r="B484" s="45">
        <v>200943640</v>
      </c>
      <c r="C484" s="56" t="s">
        <v>350</v>
      </c>
      <c r="D484" s="66">
        <v>1.88</v>
      </c>
      <c r="E484" s="24">
        <v>2.6</v>
      </c>
      <c r="F484" s="24">
        <v>2.6</v>
      </c>
      <c r="G484" s="24">
        <v>2.0299999999999998</v>
      </c>
      <c r="H484" s="24">
        <v>1.33</v>
      </c>
      <c r="I484" s="24">
        <v>16.55</v>
      </c>
      <c r="J484" s="24">
        <f t="shared" si="36"/>
        <v>26.990000000000006</v>
      </c>
      <c r="K484" s="24" t="s">
        <v>475</v>
      </c>
      <c r="L484" s="25">
        <f>+J484</f>
        <v>26.990000000000006</v>
      </c>
    </row>
    <row r="485" spans="1:12">
      <c r="A485" s="27">
        <v>43</v>
      </c>
      <c r="B485" s="45">
        <v>200943641</v>
      </c>
      <c r="C485" s="56" t="s">
        <v>351</v>
      </c>
      <c r="D485" s="66">
        <v>3.13</v>
      </c>
      <c r="E485" s="24">
        <v>1</v>
      </c>
      <c r="F485" s="24">
        <v>4.9000000000000004</v>
      </c>
      <c r="G485" s="24">
        <v>0</v>
      </c>
      <c r="H485" s="24">
        <v>0</v>
      </c>
      <c r="I485" s="24">
        <v>3.25</v>
      </c>
      <c r="J485" s="24">
        <f t="shared" si="36"/>
        <v>12.280000000000001</v>
      </c>
      <c r="K485" s="24" t="s">
        <v>475</v>
      </c>
      <c r="L485" s="25">
        <f t="shared" ref="L485:L486" si="40">+J485</f>
        <v>12.280000000000001</v>
      </c>
    </row>
    <row r="486" spans="1:12">
      <c r="A486" s="27">
        <v>44</v>
      </c>
      <c r="B486" s="45">
        <v>200943691</v>
      </c>
      <c r="C486" s="56" t="s">
        <v>352</v>
      </c>
      <c r="D486" s="66">
        <v>3.49</v>
      </c>
      <c r="E486" s="24">
        <v>1.75</v>
      </c>
      <c r="F486" s="24">
        <v>3.88</v>
      </c>
      <c r="G486" s="24">
        <v>0.53</v>
      </c>
      <c r="H486" s="24">
        <v>0</v>
      </c>
      <c r="I486" s="24">
        <v>4.6500000000000004</v>
      </c>
      <c r="J486" s="24">
        <f t="shared" si="36"/>
        <v>14.3</v>
      </c>
      <c r="K486" s="24" t="s">
        <v>475</v>
      </c>
      <c r="L486" s="25">
        <f t="shared" si="40"/>
        <v>14.3</v>
      </c>
    </row>
    <row r="487" spans="1:12">
      <c r="A487" s="27">
        <v>45</v>
      </c>
      <c r="B487" s="45">
        <v>200943700</v>
      </c>
      <c r="C487" s="56" t="s">
        <v>353</v>
      </c>
      <c r="D487" s="66">
        <v>4.3</v>
      </c>
      <c r="E487" s="24">
        <v>7.65</v>
      </c>
      <c r="F487" s="24">
        <v>5.5</v>
      </c>
      <c r="G487" s="24">
        <v>3.61</v>
      </c>
      <c r="H487" s="24">
        <v>5.32</v>
      </c>
      <c r="I487" s="24">
        <v>16.5</v>
      </c>
      <c r="J487" s="24">
        <f t="shared" si="36"/>
        <v>42.879999999999995</v>
      </c>
      <c r="K487" s="24">
        <v>8.2899999999999991</v>
      </c>
      <c r="L487" s="25">
        <f t="shared" si="37"/>
        <v>51.169999999999995</v>
      </c>
    </row>
    <row r="488" spans="1:12">
      <c r="A488" s="27">
        <v>46</v>
      </c>
      <c r="B488" s="45">
        <v>200943737</v>
      </c>
      <c r="C488" s="56" t="s">
        <v>436</v>
      </c>
      <c r="D488" s="66">
        <v>4.49</v>
      </c>
      <c r="E488" s="24">
        <v>0</v>
      </c>
      <c r="F488" s="24">
        <v>0</v>
      </c>
      <c r="G488" s="24">
        <v>0</v>
      </c>
      <c r="H488" s="24">
        <v>0</v>
      </c>
      <c r="I488" s="24">
        <v>1.25</v>
      </c>
      <c r="J488" s="24">
        <f t="shared" si="36"/>
        <v>5.74</v>
      </c>
      <c r="K488" s="24" t="s">
        <v>475</v>
      </c>
      <c r="L488" s="25">
        <f>+J488</f>
        <v>5.74</v>
      </c>
    </row>
    <row r="489" spans="1:12">
      <c r="A489" s="27">
        <v>47</v>
      </c>
      <c r="B489" s="45">
        <v>200943793</v>
      </c>
      <c r="C489" s="56" t="s">
        <v>354</v>
      </c>
      <c r="D489" s="66">
        <v>3</v>
      </c>
      <c r="E489" s="24">
        <v>5.05</v>
      </c>
      <c r="F489" s="24">
        <v>5.9</v>
      </c>
      <c r="G489" s="24">
        <v>7.4</v>
      </c>
      <c r="H489" s="24">
        <v>4.0999999999999996</v>
      </c>
      <c r="I489" s="24">
        <v>15.85</v>
      </c>
      <c r="J489" s="24">
        <f t="shared" si="36"/>
        <v>41.3</v>
      </c>
      <c r="K489" s="24">
        <v>10.44</v>
      </c>
      <c r="L489" s="25">
        <f t="shared" si="37"/>
        <v>51.739999999999995</v>
      </c>
    </row>
    <row r="490" spans="1:12">
      <c r="A490" s="27">
        <v>48</v>
      </c>
      <c r="B490" s="45">
        <v>200943840</v>
      </c>
      <c r="C490" s="56" t="s">
        <v>355</v>
      </c>
      <c r="D490" s="66">
        <v>2.2200000000000002</v>
      </c>
      <c r="E490" s="24">
        <v>1.6</v>
      </c>
      <c r="F490" s="24">
        <v>3.2</v>
      </c>
      <c r="G490" s="24">
        <v>0</v>
      </c>
      <c r="H490" s="24">
        <v>0</v>
      </c>
      <c r="I490" s="24">
        <v>4</v>
      </c>
      <c r="J490" s="24">
        <f t="shared" si="36"/>
        <v>11.020000000000001</v>
      </c>
      <c r="K490" s="24" t="s">
        <v>475</v>
      </c>
      <c r="L490" s="25">
        <f>+J490</f>
        <v>11.020000000000001</v>
      </c>
    </row>
    <row r="491" spans="1:12">
      <c r="A491" s="27">
        <v>49</v>
      </c>
      <c r="B491" s="45">
        <v>200944056</v>
      </c>
      <c r="C491" s="56" t="s">
        <v>356</v>
      </c>
      <c r="D491" s="66">
        <v>4.05</v>
      </c>
      <c r="E491" s="24">
        <v>3.5</v>
      </c>
      <c r="F491" s="24">
        <v>2.63</v>
      </c>
      <c r="G491" s="24">
        <v>3.4</v>
      </c>
      <c r="H491" s="24">
        <v>5.08</v>
      </c>
      <c r="I491" s="24">
        <v>16.899999999999999</v>
      </c>
      <c r="J491" s="24">
        <f t="shared" si="36"/>
        <v>35.559999999999995</v>
      </c>
      <c r="K491" s="24" t="s">
        <v>475</v>
      </c>
      <c r="L491" s="25">
        <f t="shared" ref="L491:L492" si="41">+J491</f>
        <v>35.559999999999995</v>
      </c>
    </row>
    <row r="492" spans="1:12">
      <c r="A492" s="27">
        <v>50</v>
      </c>
      <c r="B492" s="45">
        <v>200944097</v>
      </c>
      <c r="C492" s="56" t="s">
        <v>357</v>
      </c>
      <c r="D492" s="65">
        <v>3.61</v>
      </c>
      <c r="E492" s="24">
        <v>4.7</v>
      </c>
      <c r="F492" s="24">
        <v>6.6</v>
      </c>
      <c r="G492" s="24">
        <v>1.8</v>
      </c>
      <c r="H492" s="24">
        <v>0</v>
      </c>
      <c r="I492" s="24">
        <v>10.5</v>
      </c>
      <c r="J492" s="24">
        <f t="shared" si="36"/>
        <v>27.209999999999997</v>
      </c>
      <c r="K492" s="24" t="s">
        <v>475</v>
      </c>
      <c r="L492" s="25">
        <f t="shared" si="41"/>
        <v>27.209999999999997</v>
      </c>
    </row>
    <row r="493" spans="1:12">
      <c r="A493" s="27">
        <v>51</v>
      </c>
      <c r="B493" s="45">
        <v>200944241</v>
      </c>
      <c r="C493" s="56" t="s">
        <v>358</v>
      </c>
      <c r="D493" s="66">
        <v>3.11</v>
      </c>
      <c r="E493" s="24">
        <v>4.2</v>
      </c>
      <c r="F493" s="24">
        <v>7.4</v>
      </c>
      <c r="G493" s="24">
        <v>5.4</v>
      </c>
      <c r="H493" s="24">
        <v>4.47</v>
      </c>
      <c r="I493" s="24">
        <v>16.75</v>
      </c>
      <c r="J493" s="24">
        <f t="shared" si="36"/>
        <v>41.33</v>
      </c>
      <c r="K493" s="24">
        <v>10.96</v>
      </c>
      <c r="L493" s="25">
        <f t="shared" si="37"/>
        <v>52.29</v>
      </c>
    </row>
    <row r="494" spans="1:12">
      <c r="A494" s="27">
        <v>52</v>
      </c>
      <c r="B494" s="45">
        <v>200944435</v>
      </c>
      <c r="C494" s="60" t="s">
        <v>359</v>
      </c>
      <c r="D494" s="66">
        <v>3.47</v>
      </c>
      <c r="E494" s="24">
        <v>1</v>
      </c>
      <c r="F494" s="24">
        <v>5.6</v>
      </c>
      <c r="G494" s="24">
        <v>0</v>
      </c>
      <c r="H494" s="24">
        <v>0</v>
      </c>
      <c r="I494" s="24">
        <v>5.45</v>
      </c>
      <c r="J494" s="24">
        <f t="shared" si="36"/>
        <v>15.520000000000001</v>
      </c>
      <c r="K494" s="24" t="s">
        <v>475</v>
      </c>
      <c r="L494" s="25">
        <f>+J494</f>
        <v>15.520000000000001</v>
      </c>
    </row>
    <row r="495" spans="1:12">
      <c r="A495" s="27">
        <v>53</v>
      </c>
      <c r="B495" s="45">
        <v>200944452</v>
      </c>
      <c r="C495" s="56" t="s">
        <v>360</v>
      </c>
      <c r="D495" s="66">
        <v>3.48</v>
      </c>
      <c r="E495" s="24">
        <v>2.95</v>
      </c>
      <c r="F495" s="24">
        <v>6.26</v>
      </c>
      <c r="G495" s="24">
        <v>1.27</v>
      </c>
      <c r="H495" s="24">
        <v>0</v>
      </c>
      <c r="I495" s="24">
        <v>8.25</v>
      </c>
      <c r="J495" s="24">
        <f t="shared" si="36"/>
        <v>22.21</v>
      </c>
      <c r="K495" s="24" t="s">
        <v>475</v>
      </c>
      <c r="L495" s="25">
        <f t="shared" ref="L495:L498" si="42">+J495</f>
        <v>22.21</v>
      </c>
    </row>
    <row r="496" spans="1:12">
      <c r="A496" s="27">
        <v>54</v>
      </c>
      <c r="B496" s="45">
        <v>200944938</v>
      </c>
      <c r="C496" s="60" t="s">
        <v>361</v>
      </c>
      <c r="D496" s="66">
        <v>2.94</v>
      </c>
      <c r="E496" s="24">
        <v>2.6</v>
      </c>
      <c r="F496" s="24">
        <v>2.7</v>
      </c>
      <c r="G496" s="24">
        <v>3.25</v>
      </c>
      <c r="H496" s="24">
        <v>0</v>
      </c>
      <c r="I496" s="24">
        <v>5.5</v>
      </c>
      <c r="J496" s="24">
        <f t="shared" si="36"/>
        <v>16.989999999999998</v>
      </c>
      <c r="K496" s="24" t="s">
        <v>475</v>
      </c>
      <c r="L496" s="25">
        <f t="shared" si="42"/>
        <v>16.989999999999998</v>
      </c>
    </row>
    <row r="497" spans="1:12">
      <c r="A497" s="27">
        <v>56</v>
      </c>
      <c r="B497" s="45">
        <v>200944985</v>
      </c>
      <c r="C497" s="60" t="s">
        <v>362</v>
      </c>
      <c r="D497" s="66">
        <v>2.62</v>
      </c>
      <c r="E497" s="24">
        <v>4.4000000000000004</v>
      </c>
      <c r="F497" s="24">
        <v>6</v>
      </c>
      <c r="G497" s="24">
        <v>5.17</v>
      </c>
      <c r="H497" s="24">
        <v>4.21</v>
      </c>
      <c r="I497" s="24">
        <v>19.75</v>
      </c>
      <c r="J497" s="24">
        <f t="shared" si="36"/>
        <v>42.15</v>
      </c>
      <c r="K497" s="24">
        <v>9.3000000000000007</v>
      </c>
      <c r="L497" s="25">
        <f>+K497+J497</f>
        <v>51.45</v>
      </c>
    </row>
    <row r="498" spans="1:12">
      <c r="A498" s="27">
        <v>56</v>
      </c>
      <c r="B498" s="45">
        <v>200946113</v>
      </c>
      <c r="C498" s="56" t="s">
        <v>363</v>
      </c>
      <c r="D498" s="66">
        <v>2.58</v>
      </c>
      <c r="E498" s="24">
        <v>2.4</v>
      </c>
      <c r="F498" s="24">
        <v>1.55</v>
      </c>
      <c r="G498" s="24">
        <v>2.2200000000000002</v>
      </c>
      <c r="H498" s="24">
        <v>3.89</v>
      </c>
      <c r="I498" s="24">
        <v>17.75</v>
      </c>
      <c r="J498" s="24">
        <f t="shared" si="36"/>
        <v>30.39</v>
      </c>
      <c r="K498" s="24" t="s">
        <v>475</v>
      </c>
      <c r="L498" s="25">
        <f t="shared" si="42"/>
        <v>30.39</v>
      </c>
    </row>
    <row r="499" spans="1:12">
      <c r="A499" s="29"/>
      <c r="B499" s="29"/>
      <c r="C499" s="30"/>
      <c r="D499" s="31"/>
      <c r="E499" s="31"/>
      <c r="F499" s="31"/>
      <c r="G499" s="31"/>
      <c r="H499" s="31"/>
      <c r="I499" s="31"/>
      <c r="J499" s="31"/>
    </row>
    <row r="500" spans="1:12">
      <c r="A500" s="29"/>
      <c r="B500" s="29"/>
      <c r="C500" s="30"/>
      <c r="D500" s="31"/>
      <c r="E500" s="31"/>
      <c r="F500" s="31"/>
      <c r="G500" s="31"/>
      <c r="H500" s="31"/>
      <c r="I500" s="31"/>
      <c r="J500" s="31"/>
    </row>
    <row r="501" spans="1:12" ht="17.25" thickBot="1">
      <c r="A501" s="33"/>
      <c r="B501" s="33"/>
      <c r="C501" s="34"/>
      <c r="D501" s="31"/>
      <c r="E501" s="31"/>
      <c r="F501" s="31"/>
      <c r="G501" s="31"/>
      <c r="H501" s="35"/>
      <c r="I501" s="35"/>
      <c r="J501" s="35"/>
    </row>
    <row r="502" spans="1:12">
      <c r="H502" s="100" t="s">
        <v>429</v>
      </c>
      <c r="I502" s="100"/>
      <c r="J502" s="100"/>
    </row>
    <row r="503" spans="1:12">
      <c r="D503" s="36"/>
      <c r="H503" s="100" t="s">
        <v>430</v>
      </c>
      <c r="I503" s="100"/>
      <c r="J503" s="100"/>
    </row>
    <row r="504" spans="1:12">
      <c r="D504" s="36"/>
      <c r="H504" s="100" t="s">
        <v>431</v>
      </c>
      <c r="I504" s="100"/>
      <c r="J504" s="100"/>
    </row>
  </sheetData>
  <mergeCells count="18">
    <mergeCell ref="H66:J66"/>
    <mergeCell ref="H67:J67"/>
    <mergeCell ref="H68:J68"/>
    <mergeCell ref="H504:J504"/>
    <mergeCell ref="H154:J154"/>
    <mergeCell ref="H155:J155"/>
    <mergeCell ref="H156:J156"/>
    <mergeCell ref="H244:J244"/>
    <mergeCell ref="H245:J245"/>
    <mergeCell ref="H246:J246"/>
    <mergeCell ref="H330:J330"/>
    <mergeCell ref="H331:J331"/>
    <mergeCell ref="H332:J332"/>
    <mergeCell ref="H410:J410"/>
    <mergeCell ref="H411:J411"/>
    <mergeCell ref="H412:J412"/>
    <mergeCell ref="H502:J502"/>
    <mergeCell ref="H503:J503"/>
  </mergeCells>
  <pageMargins left="0.22" right="0.16" top="0.4" bottom="0.36" header="0.23" footer="0.21"/>
  <pageSetup scale="80" orientation="landscape" verticalDpi="1200" r:id="rId1"/>
  <ignoredErrors>
    <ignoredError sqref="J13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L492"/>
  <sheetViews>
    <sheetView topLeftCell="A485" workbookViewId="0">
      <selection activeCell="H511" sqref="H511"/>
    </sheetView>
  </sheetViews>
  <sheetFormatPr baseColWidth="10" defaultRowHeight="16.5"/>
  <cols>
    <col min="1" max="1" width="4.140625" style="3" customWidth="1"/>
    <col min="2" max="2" width="10" style="3" bestFit="1" customWidth="1"/>
    <col min="3" max="3" width="35.5703125" style="3" bestFit="1" customWidth="1"/>
    <col min="4" max="4" width="13.28515625" style="3" bestFit="1" customWidth="1"/>
    <col min="5" max="5" width="13.5703125" style="3" bestFit="1" customWidth="1"/>
    <col min="6" max="6" width="13.28515625" style="3" bestFit="1" customWidth="1"/>
    <col min="7" max="8" width="13.42578125" style="3" bestFit="1" customWidth="1"/>
    <col min="9" max="9" width="13.42578125" style="3" customWidth="1"/>
    <col min="10" max="10" width="12.85546875" style="3" bestFit="1" customWidth="1"/>
    <col min="11" max="11" width="14.42578125" style="3" bestFit="1" customWidth="1"/>
    <col min="12" max="12" width="7.5703125" style="3" bestFit="1" customWidth="1"/>
    <col min="13" max="16384" width="11.42578125" style="3"/>
  </cols>
  <sheetData>
    <row r="1" spans="1:12" ht="17.25" thickBot="1">
      <c r="A1" s="84" t="s">
        <v>0</v>
      </c>
    </row>
    <row r="2" spans="1:12">
      <c r="A2" s="84" t="s">
        <v>1</v>
      </c>
      <c r="F2" s="4"/>
      <c r="G2" s="5"/>
      <c r="H2" s="6"/>
      <c r="I2" s="7"/>
    </row>
    <row r="3" spans="1:12">
      <c r="A3" s="13" t="s">
        <v>2</v>
      </c>
      <c r="B3" s="7"/>
      <c r="E3" s="7"/>
      <c r="F3" s="10"/>
      <c r="G3" s="11"/>
      <c r="H3" s="12"/>
      <c r="I3" s="7"/>
    </row>
    <row r="4" spans="1:12" ht="17.25" thickBot="1">
      <c r="A4" s="13" t="s">
        <v>3</v>
      </c>
      <c r="B4" s="7"/>
      <c r="E4" s="7"/>
      <c r="F4" s="10"/>
      <c r="G4" s="11"/>
      <c r="H4" s="12"/>
      <c r="I4" s="7"/>
    </row>
    <row r="5" spans="1:12" ht="17.25" thickBot="1">
      <c r="A5" s="96" t="s">
        <v>22</v>
      </c>
      <c r="B5" s="97"/>
      <c r="C5" s="98"/>
      <c r="E5" s="7"/>
      <c r="F5" s="17"/>
      <c r="G5" s="18"/>
      <c r="H5" s="19"/>
      <c r="I5" s="7"/>
    </row>
    <row r="6" spans="1:12">
      <c r="A6" s="13"/>
      <c r="B6" s="7"/>
      <c r="E6" s="7"/>
    </row>
    <row r="7" spans="1:12">
      <c r="A7" s="84" t="s">
        <v>91</v>
      </c>
      <c r="B7" s="7"/>
      <c r="C7" s="85" t="s">
        <v>92</v>
      </c>
      <c r="E7" s="7"/>
    </row>
    <row r="8" spans="1:12">
      <c r="A8" s="84" t="s">
        <v>4</v>
      </c>
      <c r="C8" s="85" t="s">
        <v>457</v>
      </c>
    </row>
    <row r="9" spans="1:12">
      <c r="A9" s="84" t="s">
        <v>5</v>
      </c>
      <c r="C9" s="85" t="s">
        <v>452</v>
      </c>
    </row>
    <row r="10" spans="1:12">
      <c r="A10" s="86"/>
      <c r="B10" s="86"/>
      <c r="C10" s="86"/>
      <c r="D10" s="86"/>
      <c r="E10" s="86"/>
      <c r="F10" s="86"/>
      <c r="G10" s="86"/>
      <c r="H10" s="86"/>
      <c r="I10" s="86"/>
      <c r="J10" s="86"/>
    </row>
    <row r="11" spans="1:12">
      <c r="A11" s="84"/>
      <c r="C11" s="22" t="s">
        <v>6</v>
      </c>
      <c r="D11" s="22" t="s">
        <v>435</v>
      </c>
      <c r="E11" s="22" t="s">
        <v>435</v>
      </c>
      <c r="F11" s="22" t="s">
        <v>435</v>
      </c>
      <c r="G11" s="22" t="s">
        <v>435</v>
      </c>
      <c r="H11" s="22" t="s">
        <v>435</v>
      </c>
      <c r="I11" s="22" t="s">
        <v>7</v>
      </c>
      <c r="J11" s="22" t="s">
        <v>8</v>
      </c>
      <c r="K11" s="22" t="s">
        <v>7</v>
      </c>
      <c r="L11" s="22" t="s">
        <v>9</v>
      </c>
    </row>
    <row r="12" spans="1:12">
      <c r="A12" s="22" t="s">
        <v>10</v>
      </c>
      <c r="B12" s="22" t="s">
        <v>11</v>
      </c>
      <c r="C12" s="22" t="s">
        <v>12</v>
      </c>
      <c r="D12" s="22" t="s">
        <v>13</v>
      </c>
      <c r="E12" s="22" t="s">
        <v>14</v>
      </c>
      <c r="F12" s="22" t="s">
        <v>15</v>
      </c>
      <c r="G12" s="22" t="s">
        <v>16</v>
      </c>
      <c r="H12" s="22" t="s">
        <v>17</v>
      </c>
      <c r="I12" s="22" t="s">
        <v>95</v>
      </c>
      <c r="J12" s="22" t="s">
        <v>18</v>
      </c>
      <c r="K12" s="22" t="s">
        <v>19</v>
      </c>
      <c r="L12" s="22" t="s">
        <v>20</v>
      </c>
    </row>
    <row r="13" spans="1:12">
      <c r="A13" s="27">
        <v>1</v>
      </c>
      <c r="B13" s="57">
        <v>200710799</v>
      </c>
      <c r="C13" s="58" t="s">
        <v>25</v>
      </c>
      <c r="D13" s="28">
        <v>7.8</v>
      </c>
      <c r="E13" s="28">
        <v>7.35</v>
      </c>
      <c r="F13" s="28">
        <v>9.9</v>
      </c>
      <c r="G13" s="28">
        <v>9</v>
      </c>
      <c r="H13" s="28">
        <v>8.6999999999999993</v>
      </c>
      <c r="I13" s="28">
        <v>15.95</v>
      </c>
      <c r="J13" s="28">
        <f>+I13+H13+G13+F13+E13+D13</f>
        <v>58.699999999999996</v>
      </c>
      <c r="K13" s="28">
        <v>11</v>
      </c>
      <c r="L13" s="87">
        <f>+K13+J13</f>
        <v>69.699999999999989</v>
      </c>
    </row>
    <row r="14" spans="1:12">
      <c r="A14" s="88">
        <v>2</v>
      </c>
      <c r="B14" s="57">
        <v>200742316</v>
      </c>
      <c r="C14" s="58" t="s">
        <v>28</v>
      </c>
      <c r="D14" s="28">
        <v>4.82</v>
      </c>
      <c r="E14" s="28">
        <v>8.5500000000000007</v>
      </c>
      <c r="F14" s="28">
        <v>6.6</v>
      </c>
      <c r="G14" s="28">
        <v>4.3499999999999996</v>
      </c>
      <c r="H14" s="28">
        <v>7.65</v>
      </c>
      <c r="I14" s="28">
        <v>13.86</v>
      </c>
      <c r="J14" s="28">
        <f>+I14+H14+G14+F14+E14+D14</f>
        <v>45.830000000000005</v>
      </c>
      <c r="K14" s="28">
        <v>11</v>
      </c>
      <c r="L14" s="87">
        <f>+K14+J14</f>
        <v>56.830000000000005</v>
      </c>
    </row>
    <row r="15" spans="1:12">
      <c r="A15" s="27">
        <v>3</v>
      </c>
      <c r="B15" s="57">
        <v>200840120</v>
      </c>
      <c r="C15" s="58" t="s">
        <v>34</v>
      </c>
      <c r="D15" s="28">
        <v>8.8000000000000007</v>
      </c>
      <c r="E15" s="28">
        <v>5.4</v>
      </c>
      <c r="F15" s="28">
        <v>8.4</v>
      </c>
      <c r="G15" s="28">
        <v>7.2</v>
      </c>
      <c r="H15" s="28">
        <v>7.2</v>
      </c>
      <c r="I15" s="28">
        <v>12.76</v>
      </c>
      <c r="J15" s="28">
        <f>+I15+H15+G15+F15+E15+D15</f>
        <v>49.760000000000005</v>
      </c>
      <c r="K15" s="28">
        <v>10</v>
      </c>
      <c r="L15" s="87">
        <f>+K15+J15</f>
        <v>59.760000000000005</v>
      </c>
    </row>
    <row r="16" spans="1:12">
      <c r="A16" s="88">
        <v>4</v>
      </c>
      <c r="B16" s="57">
        <v>200840126</v>
      </c>
      <c r="C16" s="58" t="s">
        <v>35</v>
      </c>
      <c r="D16" s="28">
        <v>5.04</v>
      </c>
      <c r="E16" s="28">
        <v>6</v>
      </c>
      <c r="F16" s="28">
        <v>8.1</v>
      </c>
      <c r="G16" s="28">
        <v>3.9</v>
      </c>
      <c r="H16" s="28">
        <v>6</v>
      </c>
      <c r="I16" s="28">
        <v>15.33</v>
      </c>
      <c r="J16" s="28">
        <v>44.52</v>
      </c>
      <c r="K16" s="28">
        <v>9.5</v>
      </c>
      <c r="L16" s="87">
        <f>+K16+J16</f>
        <v>54.02</v>
      </c>
    </row>
    <row r="17" spans="1:12">
      <c r="A17" s="88">
        <v>5</v>
      </c>
      <c r="B17" s="57">
        <v>200840186</v>
      </c>
      <c r="C17" s="58" t="s">
        <v>39</v>
      </c>
      <c r="D17" s="28">
        <v>10.68</v>
      </c>
      <c r="E17" s="28">
        <v>9.3000000000000007</v>
      </c>
      <c r="F17" s="28">
        <v>8.4</v>
      </c>
      <c r="G17" s="28">
        <v>6.75</v>
      </c>
      <c r="H17" s="28">
        <v>8.25</v>
      </c>
      <c r="I17" s="28">
        <v>16.489999999999998</v>
      </c>
      <c r="J17" s="28">
        <f t="shared" ref="J17:J64" si="0">+I17+H17+G17+F17+E17+D17</f>
        <v>59.87</v>
      </c>
      <c r="K17" s="28">
        <v>13.5</v>
      </c>
      <c r="L17" s="87">
        <f>+K17+J17</f>
        <v>73.37</v>
      </c>
    </row>
    <row r="18" spans="1:12">
      <c r="A18" s="88">
        <v>6</v>
      </c>
      <c r="B18" s="57">
        <v>200840188</v>
      </c>
      <c r="C18" s="58" t="s">
        <v>40</v>
      </c>
      <c r="D18" s="28">
        <v>6.1</v>
      </c>
      <c r="E18" s="28">
        <v>5.0999999999999996</v>
      </c>
      <c r="F18" s="28">
        <v>6.3</v>
      </c>
      <c r="G18" s="28">
        <v>4.05</v>
      </c>
      <c r="H18" s="28">
        <v>0</v>
      </c>
      <c r="I18" s="28">
        <v>9.24</v>
      </c>
      <c r="J18" s="28">
        <f t="shared" si="0"/>
        <v>30.79</v>
      </c>
      <c r="K18" s="28" t="s">
        <v>475</v>
      </c>
      <c r="L18" s="87">
        <v>30.79</v>
      </c>
    </row>
    <row r="19" spans="1:12">
      <c r="A19" s="88">
        <v>7</v>
      </c>
      <c r="B19" s="57">
        <v>200840198</v>
      </c>
      <c r="C19" s="58" t="s">
        <v>41</v>
      </c>
      <c r="D19" s="28">
        <v>10.6</v>
      </c>
      <c r="E19" s="28">
        <v>10.050000000000001</v>
      </c>
      <c r="F19" s="28">
        <v>8.4</v>
      </c>
      <c r="G19" s="28">
        <v>6.75</v>
      </c>
      <c r="H19" s="28">
        <v>9.4499999999999993</v>
      </c>
      <c r="I19" s="28">
        <v>16.86</v>
      </c>
      <c r="J19" s="28">
        <f t="shared" si="0"/>
        <v>62.110000000000007</v>
      </c>
      <c r="K19" s="28" t="s">
        <v>476</v>
      </c>
      <c r="L19" s="87">
        <v>62.11</v>
      </c>
    </row>
    <row r="20" spans="1:12">
      <c r="A20" s="88">
        <v>8</v>
      </c>
      <c r="B20" s="57">
        <v>200840211</v>
      </c>
      <c r="C20" s="58" t="s">
        <v>42</v>
      </c>
      <c r="D20" s="28">
        <v>7.3</v>
      </c>
      <c r="E20" s="28">
        <v>6</v>
      </c>
      <c r="F20" s="28">
        <v>6.3</v>
      </c>
      <c r="G20" s="28">
        <v>4.8</v>
      </c>
      <c r="H20" s="28">
        <v>7.95</v>
      </c>
      <c r="I20" s="28">
        <v>13.96</v>
      </c>
      <c r="J20" s="28">
        <f t="shared" si="0"/>
        <v>46.309999999999995</v>
      </c>
      <c r="K20" s="28">
        <v>12.5</v>
      </c>
      <c r="L20" s="87">
        <f>+K20+J20</f>
        <v>58.809999999999995</v>
      </c>
    </row>
    <row r="21" spans="1:12">
      <c r="A21" s="88">
        <v>9</v>
      </c>
      <c r="B21" s="57">
        <v>200842032</v>
      </c>
      <c r="C21" s="60" t="s">
        <v>44</v>
      </c>
      <c r="D21" s="28">
        <v>7.1</v>
      </c>
      <c r="E21" s="28">
        <v>4.6500000000000004</v>
      </c>
      <c r="F21" s="28">
        <v>5.25</v>
      </c>
      <c r="G21" s="28">
        <v>6.45</v>
      </c>
      <c r="H21" s="28">
        <v>0</v>
      </c>
      <c r="I21" s="28">
        <v>8.6199999999999992</v>
      </c>
      <c r="J21" s="28">
        <f t="shared" si="0"/>
        <v>32.07</v>
      </c>
      <c r="K21" s="28" t="s">
        <v>475</v>
      </c>
      <c r="L21" s="87">
        <v>32.07</v>
      </c>
    </row>
    <row r="22" spans="1:12">
      <c r="A22" s="88">
        <v>10</v>
      </c>
      <c r="B22" s="57">
        <v>200842058</v>
      </c>
      <c r="C22" s="58" t="s">
        <v>46</v>
      </c>
      <c r="D22" s="28">
        <v>8</v>
      </c>
      <c r="E22" s="28">
        <v>8.6999999999999993</v>
      </c>
      <c r="F22" s="28">
        <v>7.2</v>
      </c>
      <c r="G22" s="28">
        <v>6.15</v>
      </c>
      <c r="H22" s="28">
        <v>8.25</v>
      </c>
      <c r="I22" s="28">
        <v>13.51</v>
      </c>
      <c r="J22" s="28">
        <f t="shared" si="0"/>
        <v>51.81</v>
      </c>
      <c r="K22" s="28">
        <v>9.5</v>
      </c>
      <c r="L22" s="87">
        <f>+K22+J22</f>
        <v>61.31</v>
      </c>
    </row>
    <row r="23" spans="1:12">
      <c r="A23" s="88">
        <v>11</v>
      </c>
      <c r="B23" s="57">
        <v>200842061</v>
      </c>
      <c r="C23" s="58" t="s">
        <v>48</v>
      </c>
      <c r="D23" s="28">
        <v>6.26</v>
      </c>
      <c r="E23" s="28">
        <v>6.75</v>
      </c>
      <c r="F23" s="28">
        <v>3.45</v>
      </c>
      <c r="G23" s="28">
        <v>1.8</v>
      </c>
      <c r="H23" s="28">
        <v>0</v>
      </c>
      <c r="I23" s="28">
        <v>12.17</v>
      </c>
      <c r="J23" s="28">
        <f t="shared" si="0"/>
        <v>30.43</v>
      </c>
      <c r="K23" s="28" t="s">
        <v>475</v>
      </c>
      <c r="L23" s="87">
        <v>30.43</v>
      </c>
    </row>
    <row r="24" spans="1:12">
      <c r="A24" s="88">
        <v>12</v>
      </c>
      <c r="B24" s="57">
        <v>200842077</v>
      </c>
      <c r="C24" s="58" t="s">
        <v>49</v>
      </c>
      <c r="D24" s="28">
        <v>5.8</v>
      </c>
      <c r="E24" s="28">
        <v>6.75</v>
      </c>
      <c r="F24" s="28">
        <v>5.7</v>
      </c>
      <c r="G24" s="28">
        <v>3.6</v>
      </c>
      <c r="H24" s="28">
        <v>6.2</v>
      </c>
      <c r="I24" s="28">
        <v>13.01</v>
      </c>
      <c r="J24" s="28">
        <f t="shared" si="0"/>
        <v>41.06</v>
      </c>
      <c r="K24" s="28" t="s">
        <v>476</v>
      </c>
      <c r="L24" s="87">
        <v>41.06</v>
      </c>
    </row>
    <row r="25" spans="1:12">
      <c r="A25" s="88">
        <v>13</v>
      </c>
      <c r="B25" s="57">
        <v>200842227</v>
      </c>
      <c r="C25" s="58" t="s">
        <v>51</v>
      </c>
      <c r="D25" s="28">
        <v>9.42</v>
      </c>
      <c r="E25" s="28">
        <v>8.25</v>
      </c>
      <c r="F25" s="28">
        <v>5.4</v>
      </c>
      <c r="G25" s="28">
        <v>4.6500000000000004</v>
      </c>
      <c r="H25" s="28">
        <v>7.35</v>
      </c>
      <c r="I25" s="28">
        <v>15.99</v>
      </c>
      <c r="J25" s="28">
        <f t="shared" si="0"/>
        <v>51.06</v>
      </c>
      <c r="K25" s="28">
        <v>10</v>
      </c>
      <c r="L25" s="87">
        <f>+K25+J25</f>
        <v>61.06</v>
      </c>
    </row>
    <row r="26" spans="1:12">
      <c r="A26" s="27">
        <v>14</v>
      </c>
      <c r="B26" s="57">
        <v>200842253</v>
      </c>
      <c r="C26" s="58" t="s">
        <v>52</v>
      </c>
      <c r="D26" s="28">
        <v>7.6</v>
      </c>
      <c r="E26" s="28">
        <v>7.05</v>
      </c>
      <c r="F26" s="28">
        <v>6</v>
      </c>
      <c r="G26" s="28">
        <v>6</v>
      </c>
      <c r="H26" s="28">
        <v>7.5</v>
      </c>
      <c r="I26" s="28">
        <v>10.029999999999999</v>
      </c>
      <c r="J26" s="28">
        <f t="shared" si="0"/>
        <v>44.18</v>
      </c>
      <c r="K26" s="28" t="s">
        <v>476</v>
      </c>
      <c r="L26" s="87">
        <v>44.18</v>
      </c>
    </row>
    <row r="27" spans="1:12">
      <c r="A27" s="27">
        <v>15</v>
      </c>
      <c r="B27" s="57">
        <v>200940284</v>
      </c>
      <c r="C27" s="60" t="s">
        <v>53</v>
      </c>
      <c r="D27" s="28">
        <v>5.6</v>
      </c>
      <c r="E27" s="28">
        <v>7.8</v>
      </c>
      <c r="F27" s="28">
        <v>7.8</v>
      </c>
      <c r="G27" s="28">
        <v>6.6</v>
      </c>
      <c r="H27" s="28">
        <v>8.4</v>
      </c>
      <c r="I27" s="28">
        <v>15.31</v>
      </c>
      <c r="J27" s="28">
        <f t="shared" si="0"/>
        <v>51.51</v>
      </c>
      <c r="K27" s="28">
        <v>14.5</v>
      </c>
      <c r="L27" s="87">
        <f>+K27+J27</f>
        <v>66.009999999999991</v>
      </c>
    </row>
    <row r="28" spans="1:12">
      <c r="A28" s="27">
        <v>16</v>
      </c>
      <c r="B28" s="57">
        <v>200940311</v>
      </c>
      <c r="C28" s="60" t="s">
        <v>54</v>
      </c>
      <c r="D28" s="28">
        <v>5.0999999999999996</v>
      </c>
      <c r="E28" s="28">
        <v>5.85</v>
      </c>
      <c r="F28" s="28">
        <v>7.2</v>
      </c>
      <c r="G28" s="28">
        <v>4.5</v>
      </c>
      <c r="H28" s="28">
        <v>0</v>
      </c>
      <c r="I28" s="28">
        <v>9.81</v>
      </c>
      <c r="J28" s="28">
        <f t="shared" si="0"/>
        <v>32.46</v>
      </c>
      <c r="K28" s="28" t="s">
        <v>475</v>
      </c>
      <c r="L28" s="87">
        <v>32.46</v>
      </c>
    </row>
    <row r="29" spans="1:12">
      <c r="A29" s="27">
        <v>17</v>
      </c>
      <c r="B29" s="57">
        <v>200940313</v>
      </c>
      <c r="C29" s="58" t="s">
        <v>55</v>
      </c>
      <c r="D29" s="28">
        <v>3.4</v>
      </c>
      <c r="E29" s="28">
        <v>6.3</v>
      </c>
      <c r="F29" s="28">
        <v>5.55</v>
      </c>
      <c r="G29" s="28">
        <v>4.5</v>
      </c>
      <c r="H29" s="28">
        <v>7.65</v>
      </c>
      <c r="I29" s="28">
        <v>14.54</v>
      </c>
      <c r="J29" s="28">
        <f t="shared" si="0"/>
        <v>41.939999999999991</v>
      </c>
      <c r="K29" s="28">
        <v>10</v>
      </c>
      <c r="L29" s="87">
        <f>+K29+J29</f>
        <v>51.939999999999991</v>
      </c>
    </row>
    <row r="30" spans="1:12">
      <c r="A30" s="27">
        <v>18</v>
      </c>
      <c r="B30" s="57">
        <v>200940323</v>
      </c>
      <c r="C30" s="58" t="s">
        <v>56</v>
      </c>
      <c r="D30" s="28">
        <v>6.82</v>
      </c>
      <c r="E30" s="28">
        <v>0</v>
      </c>
      <c r="F30" s="28">
        <v>0</v>
      </c>
      <c r="G30" s="28">
        <v>0</v>
      </c>
      <c r="H30" s="28">
        <v>0</v>
      </c>
      <c r="I30" s="28">
        <v>1.6</v>
      </c>
      <c r="J30" s="28">
        <f t="shared" si="0"/>
        <v>8.42</v>
      </c>
      <c r="K30" s="28" t="s">
        <v>475</v>
      </c>
      <c r="L30" s="87">
        <v>8.42</v>
      </c>
    </row>
    <row r="31" spans="1:12">
      <c r="A31" s="27">
        <v>19</v>
      </c>
      <c r="B31" s="57">
        <v>200940326</v>
      </c>
      <c r="C31" s="58" t="s">
        <v>57</v>
      </c>
      <c r="D31" s="28">
        <v>6.22</v>
      </c>
      <c r="E31" s="28">
        <v>7.65</v>
      </c>
      <c r="F31" s="28">
        <v>0</v>
      </c>
      <c r="G31" s="28">
        <v>0</v>
      </c>
      <c r="H31" s="28">
        <v>0</v>
      </c>
      <c r="I31" s="28">
        <v>2.95</v>
      </c>
      <c r="J31" s="28">
        <f t="shared" si="0"/>
        <v>16.82</v>
      </c>
      <c r="K31" s="28" t="s">
        <v>475</v>
      </c>
      <c r="L31" s="87">
        <v>16.82</v>
      </c>
    </row>
    <row r="32" spans="1:12">
      <c r="A32" s="27">
        <v>20</v>
      </c>
      <c r="B32" s="57">
        <v>200940327</v>
      </c>
      <c r="C32" s="58" t="s">
        <v>58</v>
      </c>
      <c r="D32" s="28">
        <v>8.76</v>
      </c>
      <c r="E32" s="28">
        <v>7.8</v>
      </c>
      <c r="F32" s="28">
        <v>7.2</v>
      </c>
      <c r="G32" s="28">
        <v>3.45</v>
      </c>
      <c r="H32" s="28">
        <v>7.05</v>
      </c>
      <c r="I32" s="28">
        <v>15.07</v>
      </c>
      <c r="J32" s="28">
        <f t="shared" si="0"/>
        <v>49.33</v>
      </c>
      <c r="K32" s="28">
        <v>12</v>
      </c>
      <c r="L32" s="87">
        <f t="shared" ref="L32:L39" si="1">+K32+J32</f>
        <v>61.33</v>
      </c>
    </row>
    <row r="33" spans="1:12">
      <c r="A33" s="27">
        <v>21</v>
      </c>
      <c r="B33" s="57">
        <v>200940328</v>
      </c>
      <c r="C33" s="60" t="s">
        <v>59</v>
      </c>
      <c r="D33" s="28">
        <v>8.6999999999999993</v>
      </c>
      <c r="E33" s="28">
        <v>7.65</v>
      </c>
      <c r="F33" s="28">
        <v>8.85</v>
      </c>
      <c r="G33" s="28">
        <v>5.25</v>
      </c>
      <c r="H33" s="28">
        <v>9.3000000000000007</v>
      </c>
      <c r="I33" s="28">
        <v>15.28</v>
      </c>
      <c r="J33" s="28">
        <f t="shared" si="0"/>
        <v>55.03</v>
      </c>
      <c r="K33" s="28">
        <v>13.5</v>
      </c>
      <c r="L33" s="87">
        <f t="shared" si="1"/>
        <v>68.53</v>
      </c>
    </row>
    <row r="34" spans="1:12">
      <c r="A34" s="27">
        <v>22</v>
      </c>
      <c r="B34" s="57">
        <v>200940340</v>
      </c>
      <c r="C34" s="60" t="s">
        <v>60</v>
      </c>
      <c r="D34" s="28">
        <v>8.1</v>
      </c>
      <c r="E34" s="28">
        <v>9.3000000000000007</v>
      </c>
      <c r="F34" s="28">
        <v>9</v>
      </c>
      <c r="G34" s="28">
        <v>8.6999999999999993</v>
      </c>
      <c r="H34" s="28">
        <v>7.65</v>
      </c>
      <c r="I34" s="28">
        <v>15.66</v>
      </c>
      <c r="J34" s="28">
        <f t="shared" si="0"/>
        <v>58.410000000000004</v>
      </c>
      <c r="K34" s="28">
        <v>13.5</v>
      </c>
      <c r="L34" s="87">
        <f t="shared" si="1"/>
        <v>71.91</v>
      </c>
    </row>
    <row r="35" spans="1:12">
      <c r="A35" s="27">
        <v>23</v>
      </c>
      <c r="B35" s="57">
        <v>200940355</v>
      </c>
      <c r="C35" s="60" t="s">
        <v>61</v>
      </c>
      <c r="D35" s="28">
        <v>9.3000000000000007</v>
      </c>
      <c r="E35" s="28">
        <v>10.5</v>
      </c>
      <c r="F35" s="28">
        <v>9</v>
      </c>
      <c r="G35" s="28">
        <v>5.7</v>
      </c>
      <c r="H35" s="28">
        <v>10.199999999999999</v>
      </c>
      <c r="I35" s="28">
        <v>13.95</v>
      </c>
      <c r="J35" s="28">
        <f t="shared" si="0"/>
        <v>58.649999999999991</v>
      </c>
      <c r="K35" s="28">
        <v>14</v>
      </c>
      <c r="L35" s="87">
        <f t="shared" si="1"/>
        <v>72.649999999999991</v>
      </c>
    </row>
    <row r="36" spans="1:12">
      <c r="A36" s="27">
        <v>24</v>
      </c>
      <c r="B36" s="57">
        <v>200940359</v>
      </c>
      <c r="C36" s="58" t="s">
        <v>62</v>
      </c>
      <c r="D36" s="28">
        <v>9.36</v>
      </c>
      <c r="E36" s="28">
        <v>10.65</v>
      </c>
      <c r="F36" s="28">
        <v>7.45</v>
      </c>
      <c r="G36" s="28">
        <v>7.65</v>
      </c>
      <c r="H36" s="28">
        <v>9.3000000000000007</v>
      </c>
      <c r="I36" s="28">
        <v>15.36</v>
      </c>
      <c r="J36" s="28">
        <f t="shared" si="0"/>
        <v>59.77</v>
      </c>
      <c r="K36" s="28">
        <v>12.5</v>
      </c>
      <c r="L36" s="87">
        <f t="shared" si="1"/>
        <v>72.27000000000001</v>
      </c>
    </row>
    <row r="37" spans="1:12">
      <c r="A37" s="27">
        <v>25</v>
      </c>
      <c r="B37" s="57">
        <v>200940361</v>
      </c>
      <c r="C37" s="60" t="s">
        <v>63</v>
      </c>
      <c r="D37" s="28">
        <v>8.06</v>
      </c>
      <c r="E37" s="28">
        <v>9</v>
      </c>
      <c r="F37" s="28">
        <v>10.5</v>
      </c>
      <c r="G37" s="28">
        <v>5.0999999999999996</v>
      </c>
      <c r="H37" s="28">
        <v>9.3000000000000007</v>
      </c>
      <c r="I37" s="28">
        <v>15.21</v>
      </c>
      <c r="J37" s="28">
        <f t="shared" si="0"/>
        <v>57.17</v>
      </c>
      <c r="K37" s="28">
        <v>17</v>
      </c>
      <c r="L37" s="87">
        <f t="shared" si="1"/>
        <v>74.17</v>
      </c>
    </row>
    <row r="38" spans="1:12">
      <c r="A38" s="27">
        <v>26</v>
      </c>
      <c r="B38" s="57">
        <v>200940365</v>
      </c>
      <c r="C38" s="58" t="s">
        <v>64</v>
      </c>
      <c r="D38" s="28">
        <v>7.5</v>
      </c>
      <c r="E38" s="28">
        <v>7.65</v>
      </c>
      <c r="F38" s="28">
        <v>9</v>
      </c>
      <c r="G38" s="28">
        <v>5.7</v>
      </c>
      <c r="H38" s="28">
        <v>5.85</v>
      </c>
      <c r="I38" s="28">
        <v>15.78</v>
      </c>
      <c r="J38" s="28">
        <f t="shared" si="0"/>
        <v>51.48</v>
      </c>
      <c r="K38" s="28">
        <v>11.5</v>
      </c>
      <c r="L38" s="87">
        <f t="shared" si="1"/>
        <v>62.98</v>
      </c>
    </row>
    <row r="39" spans="1:12">
      <c r="A39" s="27">
        <v>27</v>
      </c>
      <c r="B39" s="57">
        <v>200940438</v>
      </c>
      <c r="C39" s="58" t="s">
        <v>65</v>
      </c>
      <c r="D39" s="28">
        <v>8.6999999999999993</v>
      </c>
      <c r="E39" s="28">
        <v>8.1</v>
      </c>
      <c r="F39" s="28">
        <v>6.6</v>
      </c>
      <c r="G39" s="28">
        <v>6.15</v>
      </c>
      <c r="H39" s="28">
        <v>6.3</v>
      </c>
      <c r="I39" s="28">
        <v>15.15</v>
      </c>
      <c r="J39" s="28">
        <f t="shared" si="0"/>
        <v>51</v>
      </c>
      <c r="K39" s="28">
        <v>10</v>
      </c>
      <c r="L39" s="87">
        <f t="shared" si="1"/>
        <v>61</v>
      </c>
    </row>
    <row r="40" spans="1:12">
      <c r="A40" s="27">
        <v>28</v>
      </c>
      <c r="B40" s="57">
        <v>200940473</v>
      </c>
      <c r="C40" s="58" t="s">
        <v>66</v>
      </c>
      <c r="D40" s="28">
        <v>6.8</v>
      </c>
      <c r="E40" s="28">
        <v>4.5</v>
      </c>
      <c r="F40" s="28">
        <v>6.9</v>
      </c>
      <c r="G40" s="28">
        <v>2.1</v>
      </c>
      <c r="H40" s="28">
        <v>4.5</v>
      </c>
      <c r="I40" s="28">
        <v>12.58</v>
      </c>
      <c r="J40" s="28">
        <f t="shared" si="0"/>
        <v>37.379999999999995</v>
      </c>
      <c r="K40" s="28" t="s">
        <v>475</v>
      </c>
      <c r="L40" s="87">
        <v>37.380000000000003</v>
      </c>
    </row>
    <row r="41" spans="1:12">
      <c r="A41" s="27">
        <v>29</v>
      </c>
      <c r="B41" s="57">
        <v>200940475</v>
      </c>
      <c r="C41" s="58" t="s">
        <v>67</v>
      </c>
      <c r="D41" s="28">
        <v>6.58</v>
      </c>
      <c r="E41" s="28">
        <v>9.4499999999999993</v>
      </c>
      <c r="F41" s="28">
        <v>9.3000000000000007</v>
      </c>
      <c r="G41" s="28">
        <v>3.15</v>
      </c>
      <c r="H41" s="28">
        <v>8.6999999999999993</v>
      </c>
      <c r="I41" s="28">
        <v>15.96</v>
      </c>
      <c r="J41" s="28">
        <f t="shared" si="0"/>
        <v>53.14</v>
      </c>
      <c r="K41" s="28">
        <v>10.5</v>
      </c>
      <c r="L41" s="87">
        <f>+K41+J41</f>
        <v>63.64</v>
      </c>
    </row>
    <row r="42" spans="1:12">
      <c r="A42" s="27">
        <v>30</v>
      </c>
      <c r="B42" s="57">
        <v>200940477</v>
      </c>
      <c r="C42" s="58" t="s">
        <v>68</v>
      </c>
      <c r="D42" s="28">
        <v>7.4</v>
      </c>
      <c r="E42" s="28">
        <v>9.9</v>
      </c>
      <c r="F42" s="28">
        <v>7.5</v>
      </c>
      <c r="G42" s="28">
        <v>7.2</v>
      </c>
      <c r="H42" s="28">
        <v>8.6999999999999993</v>
      </c>
      <c r="I42" s="28">
        <v>13.59</v>
      </c>
      <c r="J42" s="28">
        <f t="shared" si="0"/>
        <v>54.289999999999992</v>
      </c>
      <c r="K42" s="28">
        <v>15</v>
      </c>
      <c r="L42" s="87">
        <f>+K42+J42</f>
        <v>69.289999999999992</v>
      </c>
    </row>
    <row r="43" spans="1:12">
      <c r="A43" s="27">
        <v>31</v>
      </c>
      <c r="B43" s="57">
        <v>200940482</v>
      </c>
      <c r="C43" s="58" t="s">
        <v>69</v>
      </c>
      <c r="D43" s="28">
        <v>9.3000000000000007</v>
      </c>
      <c r="E43" s="28">
        <v>9.4499999999999993</v>
      </c>
      <c r="F43" s="28">
        <v>9.6</v>
      </c>
      <c r="G43" s="28">
        <v>6.9</v>
      </c>
      <c r="H43" s="28">
        <v>8.85</v>
      </c>
      <c r="I43" s="28">
        <v>15.86</v>
      </c>
      <c r="J43" s="28">
        <f t="shared" si="0"/>
        <v>59.959999999999994</v>
      </c>
      <c r="K43" s="28">
        <v>12.5</v>
      </c>
      <c r="L43" s="87">
        <f>+K43+J43</f>
        <v>72.459999999999994</v>
      </c>
    </row>
    <row r="44" spans="1:12">
      <c r="A44" s="27">
        <v>32</v>
      </c>
      <c r="B44" s="57">
        <v>200940485</v>
      </c>
      <c r="C44" s="58" t="s">
        <v>70</v>
      </c>
      <c r="D44" s="28">
        <v>9.6999999999999993</v>
      </c>
      <c r="E44" s="28">
        <v>9.15</v>
      </c>
      <c r="F44" s="28">
        <v>6.3</v>
      </c>
      <c r="G44" s="28">
        <v>0</v>
      </c>
      <c r="H44" s="28">
        <v>0</v>
      </c>
      <c r="I44" s="28">
        <v>7.21</v>
      </c>
      <c r="J44" s="28">
        <f t="shared" si="0"/>
        <v>32.36</v>
      </c>
      <c r="K44" s="28" t="s">
        <v>475</v>
      </c>
      <c r="L44" s="87">
        <v>32.36</v>
      </c>
    </row>
    <row r="45" spans="1:12">
      <c r="A45" s="27">
        <v>33</v>
      </c>
      <c r="B45" s="57">
        <v>200940487</v>
      </c>
      <c r="C45" s="58" t="s">
        <v>71</v>
      </c>
      <c r="D45" s="28">
        <v>5.34</v>
      </c>
      <c r="E45" s="28">
        <v>5.25</v>
      </c>
      <c r="F45" s="28">
        <v>3.6</v>
      </c>
      <c r="G45" s="28">
        <v>3.3</v>
      </c>
      <c r="H45" s="28">
        <v>5.25</v>
      </c>
      <c r="I45" s="28">
        <v>12.39</v>
      </c>
      <c r="J45" s="28">
        <f t="shared" si="0"/>
        <v>35.130000000000003</v>
      </c>
      <c r="K45" s="28" t="s">
        <v>475</v>
      </c>
      <c r="L45" s="87">
        <v>35.130000000000003</v>
      </c>
    </row>
    <row r="46" spans="1:12">
      <c r="A46" s="27">
        <v>34</v>
      </c>
      <c r="B46" s="57">
        <v>200940501</v>
      </c>
      <c r="C46" s="60" t="s">
        <v>72</v>
      </c>
      <c r="D46" s="28">
        <v>6.56</v>
      </c>
      <c r="E46" s="28">
        <v>8.4</v>
      </c>
      <c r="F46" s="28">
        <v>5.7</v>
      </c>
      <c r="G46" s="28">
        <v>6.15</v>
      </c>
      <c r="H46" s="28">
        <v>0</v>
      </c>
      <c r="I46" s="28">
        <v>14.26</v>
      </c>
      <c r="J46" s="28">
        <f t="shared" si="0"/>
        <v>41.07</v>
      </c>
      <c r="K46" s="28" t="s">
        <v>476</v>
      </c>
      <c r="L46" s="87">
        <v>41.07</v>
      </c>
    </row>
    <row r="47" spans="1:12">
      <c r="A47" s="27">
        <v>35</v>
      </c>
      <c r="B47" s="57">
        <v>200940509</v>
      </c>
      <c r="C47" s="58" t="s">
        <v>73</v>
      </c>
      <c r="D47" s="28">
        <v>10.3</v>
      </c>
      <c r="E47" s="28">
        <v>10.5</v>
      </c>
      <c r="F47" s="28">
        <v>12</v>
      </c>
      <c r="G47" s="28">
        <v>9</v>
      </c>
      <c r="H47" s="28">
        <v>10.050000000000001</v>
      </c>
      <c r="I47" s="28">
        <v>13.26</v>
      </c>
      <c r="J47" s="28">
        <f t="shared" si="0"/>
        <v>65.11</v>
      </c>
      <c r="K47" s="28">
        <v>17</v>
      </c>
      <c r="L47" s="87">
        <f t="shared" ref="L47:L53" si="2">+K47+J47</f>
        <v>82.11</v>
      </c>
    </row>
    <row r="48" spans="1:12">
      <c r="A48" s="27">
        <v>36</v>
      </c>
      <c r="B48" s="57">
        <v>200940510</v>
      </c>
      <c r="C48" s="58" t="s">
        <v>74</v>
      </c>
      <c r="D48" s="28">
        <v>6.34</v>
      </c>
      <c r="E48" s="28">
        <v>9.3000000000000007</v>
      </c>
      <c r="F48" s="28">
        <v>7.4</v>
      </c>
      <c r="G48" s="28">
        <v>3.9</v>
      </c>
      <c r="H48" s="28">
        <v>7.35</v>
      </c>
      <c r="I48" s="28">
        <v>14.96</v>
      </c>
      <c r="J48" s="28">
        <f t="shared" si="0"/>
        <v>49.25</v>
      </c>
      <c r="K48" s="28">
        <v>11</v>
      </c>
      <c r="L48" s="87">
        <f t="shared" si="2"/>
        <v>60.25</v>
      </c>
    </row>
    <row r="49" spans="1:12">
      <c r="A49" s="27">
        <v>37</v>
      </c>
      <c r="B49" s="57">
        <v>200940515</v>
      </c>
      <c r="C49" s="58" t="s">
        <v>75</v>
      </c>
      <c r="D49" s="28">
        <v>7.42</v>
      </c>
      <c r="E49" s="28">
        <v>8.4</v>
      </c>
      <c r="F49" s="28">
        <v>7.8</v>
      </c>
      <c r="G49" s="28">
        <v>3</v>
      </c>
      <c r="H49" s="28">
        <v>7.35</v>
      </c>
      <c r="I49" s="28">
        <v>14.16</v>
      </c>
      <c r="J49" s="28">
        <f t="shared" si="0"/>
        <v>48.129999999999995</v>
      </c>
      <c r="K49" s="28">
        <v>11.5</v>
      </c>
      <c r="L49" s="87">
        <f t="shared" si="2"/>
        <v>59.629999999999995</v>
      </c>
    </row>
    <row r="50" spans="1:12">
      <c r="A50" s="27">
        <v>38</v>
      </c>
      <c r="B50" s="57">
        <v>200940517</v>
      </c>
      <c r="C50" s="58" t="s">
        <v>76</v>
      </c>
      <c r="D50" s="28">
        <v>5.82</v>
      </c>
      <c r="E50" s="28">
        <v>6.9</v>
      </c>
      <c r="F50" s="28">
        <v>6.9</v>
      </c>
      <c r="G50" s="28">
        <v>5.0999999999999996</v>
      </c>
      <c r="H50" s="28">
        <v>6.9</v>
      </c>
      <c r="I50" s="28">
        <v>15.48</v>
      </c>
      <c r="J50" s="28">
        <f t="shared" si="0"/>
        <v>47.1</v>
      </c>
      <c r="K50" s="28">
        <v>9.5</v>
      </c>
      <c r="L50" s="87">
        <f t="shared" si="2"/>
        <v>56.6</v>
      </c>
    </row>
    <row r="51" spans="1:12">
      <c r="A51" s="27">
        <v>39</v>
      </c>
      <c r="B51" s="57">
        <v>200940518</v>
      </c>
      <c r="C51" s="60" t="s">
        <v>77</v>
      </c>
      <c r="D51" s="28">
        <v>5.38</v>
      </c>
      <c r="E51" s="28">
        <v>8.85</v>
      </c>
      <c r="F51" s="28">
        <v>8.5500000000000007</v>
      </c>
      <c r="G51" s="28">
        <v>5.55</v>
      </c>
      <c r="H51" s="28">
        <v>8.85</v>
      </c>
      <c r="I51" s="28">
        <v>15.11</v>
      </c>
      <c r="J51" s="28">
        <f t="shared" si="0"/>
        <v>52.290000000000006</v>
      </c>
      <c r="K51" s="28">
        <v>12.5</v>
      </c>
      <c r="L51" s="87">
        <f t="shared" si="2"/>
        <v>64.790000000000006</v>
      </c>
    </row>
    <row r="52" spans="1:12">
      <c r="A52" s="27">
        <v>40</v>
      </c>
      <c r="B52" s="57">
        <v>200940525</v>
      </c>
      <c r="C52" s="58" t="s">
        <v>78</v>
      </c>
      <c r="D52" s="28">
        <v>9.4600000000000009</v>
      </c>
      <c r="E52" s="28">
        <v>8.25</v>
      </c>
      <c r="F52" s="28">
        <v>7.5</v>
      </c>
      <c r="G52" s="28">
        <v>4.95</v>
      </c>
      <c r="H52" s="28">
        <v>6.6</v>
      </c>
      <c r="I52" s="28">
        <v>15.19</v>
      </c>
      <c r="J52" s="28">
        <f t="shared" si="0"/>
        <v>51.949999999999996</v>
      </c>
      <c r="K52" s="28">
        <v>14</v>
      </c>
      <c r="L52" s="87">
        <f t="shared" si="2"/>
        <v>65.949999999999989</v>
      </c>
    </row>
    <row r="53" spans="1:12">
      <c r="A53" s="27">
        <v>41</v>
      </c>
      <c r="B53" s="57">
        <v>200940530</v>
      </c>
      <c r="C53" s="58" t="s">
        <v>79</v>
      </c>
      <c r="D53" s="28">
        <v>6.7</v>
      </c>
      <c r="E53" s="28">
        <v>6</v>
      </c>
      <c r="F53" s="28">
        <v>7.5</v>
      </c>
      <c r="G53" s="28">
        <v>4.8</v>
      </c>
      <c r="H53" s="28">
        <v>7.2</v>
      </c>
      <c r="I53" s="28">
        <v>14.05</v>
      </c>
      <c r="J53" s="28">
        <f t="shared" si="0"/>
        <v>46.25</v>
      </c>
      <c r="K53" s="28">
        <v>12.5</v>
      </c>
      <c r="L53" s="87">
        <f t="shared" si="2"/>
        <v>58.75</v>
      </c>
    </row>
    <row r="54" spans="1:12">
      <c r="A54" s="27">
        <v>42</v>
      </c>
      <c r="B54" s="57">
        <v>200940531</v>
      </c>
      <c r="C54" s="60" t="s">
        <v>80</v>
      </c>
      <c r="D54" s="28">
        <v>6.16</v>
      </c>
      <c r="E54" s="28">
        <v>5.25</v>
      </c>
      <c r="F54" s="28">
        <v>3.75</v>
      </c>
      <c r="G54" s="28">
        <v>2.7</v>
      </c>
      <c r="H54" s="28">
        <v>0</v>
      </c>
      <c r="I54" s="28">
        <v>5.81</v>
      </c>
      <c r="J54" s="28">
        <f t="shared" si="0"/>
        <v>23.669999999999998</v>
      </c>
      <c r="K54" s="28" t="s">
        <v>475</v>
      </c>
      <c r="L54" s="87">
        <v>23.67</v>
      </c>
    </row>
    <row r="55" spans="1:12">
      <c r="A55" s="27">
        <v>43</v>
      </c>
      <c r="B55" s="57">
        <v>200940532</v>
      </c>
      <c r="C55" s="58" t="s">
        <v>81</v>
      </c>
      <c r="D55" s="28">
        <v>8.06</v>
      </c>
      <c r="E55" s="28">
        <v>9.9</v>
      </c>
      <c r="F55" s="28">
        <v>7.8</v>
      </c>
      <c r="G55" s="28">
        <v>3.15</v>
      </c>
      <c r="H55" s="28">
        <v>8.1</v>
      </c>
      <c r="I55" s="28">
        <v>13.26</v>
      </c>
      <c r="J55" s="28">
        <f t="shared" si="0"/>
        <v>50.269999999999996</v>
      </c>
      <c r="K55" s="28">
        <v>11</v>
      </c>
      <c r="L55" s="87">
        <f>+K55+J55</f>
        <v>61.269999999999996</v>
      </c>
    </row>
    <row r="56" spans="1:12">
      <c r="A56" s="27">
        <v>44</v>
      </c>
      <c r="B56" s="57">
        <v>200940564</v>
      </c>
      <c r="C56" s="58" t="s">
        <v>82</v>
      </c>
      <c r="D56" s="28">
        <v>7.4</v>
      </c>
      <c r="E56" s="28">
        <v>7.95</v>
      </c>
      <c r="F56" s="28">
        <v>6.55</v>
      </c>
      <c r="G56" s="28">
        <v>7.2</v>
      </c>
      <c r="H56" s="28">
        <v>9.3000000000000007</v>
      </c>
      <c r="I56" s="28">
        <v>14.18</v>
      </c>
      <c r="J56" s="28">
        <f t="shared" si="0"/>
        <v>52.58</v>
      </c>
      <c r="K56" s="28">
        <v>13.5</v>
      </c>
      <c r="L56" s="87">
        <f>+K56+J56</f>
        <v>66.08</v>
      </c>
    </row>
    <row r="57" spans="1:12">
      <c r="A57" s="27">
        <v>45</v>
      </c>
      <c r="B57" s="57">
        <v>200940775</v>
      </c>
      <c r="C57" s="58" t="s">
        <v>83</v>
      </c>
      <c r="D57" s="28">
        <v>6.48</v>
      </c>
      <c r="E57" s="28">
        <v>7.95</v>
      </c>
      <c r="F57" s="28">
        <v>7.5</v>
      </c>
      <c r="G57" s="28">
        <v>0</v>
      </c>
      <c r="H57" s="28">
        <v>0</v>
      </c>
      <c r="I57" s="28">
        <v>7.3</v>
      </c>
      <c r="J57" s="28">
        <f t="shared" si="0"/>
        <v>29.23</v>
      </c>
      <c r="K57" s="28" t="s">
        <v>475</v>
      </c>
      <c r="L57" s="87">
        <v>29.23</v>
      </c>
    </row>
    <row r="58" spans="1:12">
      <c r="A58" s="27">
        <v>46</v>
      </c>
      <c r="B58" s="57">
        <v>200940802</v>
      </c>
      <c r="C58" s="58" t="s">
        <v>84</v>
      </c>
      <c r="D58" s="28">
        <v>8</v>
      </c>
      <c r="E58" s="28">
        <v>10.199999999999999</v>
      </c>
      <c r="F58" s="28">
        <v>5.85</v>
      </c>
      <c r="G58" s="28">
        <v>3.9</v>
      </c>
      <c r="H58" s="28">
        <v>9.3000000000000007</v>
      </c>
      <c r="I58" s="28">
        <v>15.14</v>
      </c>
      <c r="J58" s="28">
        <f t="shared" si="0"/>
        <v>52.39</v>
      </c>
      <c r="K58" s="28">
        <v>14.5</v>
      </c>
      <c r="L58" s="87">
        <f>+K58+J58</f>
        <v>66.89</v>
      </c>
    </row>
    <row r="59" spans="1:12">
      <c r="A59" s="27">
        <v>47</v>
      </c>
      <c r="B59" s="57">
        <v>200942768</v>
      </c>
      <c r="C59" s="58" t="s">
        <v>85</v>
      </c>
      <c r="D59" s="28">
        <v>5.96</v>
      </c>
      <c r="E59" s="28">
        <v>6.45</v>
      </c>
      <c r="F59" s="28">
        <v>6.3</v>
      </c>
      <c r="G59" s="28">
        <v>3.45</v>
      </c>
      <c r="H59" s="28">
        <v>0</v>
      </c>
      <c r="I59" s="28">
        <v>7.19</v>
      </c>
      <c r="J59" s="28">
        <f t="shared" si="0"/>
        <v>29.35</v>
      </c>
      <c r="K59" s="28" t="s">
        <v>475</v>
      </c>
      <c r="L59" s="87">
        <v>29.35</v>
      </c>
    </row>
    <row r="60" spans="1:12">
      <c r="A60" s="27">
        <v>48</v>
      </c>
      <c r="B60" s="57">
        <v>200943635</v>
      </c>
      <c r="C60" s="58" t="s">
        <v>86</v>
      </c>
      <c r="D60" s="28">
        <v>7.2</v>
      </c>
      <c r="E60" s="28">
        <v>10.95</v>
      </c>
      <c r="F60" s="28">
        <v>8.4</v>
      </c>
      <c r="G60" s="28">
        <v>6</v>
      </c>
      <c r="H60" s="28">
        <v>7.95</v>
      </c>
      <c r="I60" s="28">
        <v>15.28</v>
      </c>
      <c r="J60" s="28">
        <f t="shared" si="0"/>
        <v>55.78</v>
      </c>
      <c r="K60" s="28">
        <v>13.5</v>
      </c>
      <c r="L60" s="87">
        <f>+K60+J60</f>
        <v>69.28</v>
      </c>
    </row>
    <row r="61" spans="1:12">
      <c r="A61" s="27">
        <v>49</v>
      </c>
      <c r="B61" s="57">
        <v>200944076</v>
      </c>
      <c r="C61" s="58" t="s">
        <v>87</v>
      </c>
      <c r="D61" s="28">
        <v>6.28</v>
      </c>
      <c r="E61" s="28">
        <v>6.3</v>
      </c>
      <c r="F61" s="28">
        <v>7.2</v>
      </c>
      <c r="G61" s="28">
        <v>4.95</v>
      </c>
      <c r="H61" s="28">
        <v>4.5</v>
      </c>
      <c r="I61" s="28">
        <v>14.41</v>
      </c>
      <c r="J61" s="28">
        <f t="shared" si="0"/>
        <v>43.64</v>
      </c>
      <c r="K61" s="28">
        <v>9</v>
      </c>
      <c r="L61" s="87">
        <f>+K61+J61</f>
        <v>52.64</v>
      </c>
    </row>
    <row r="62" spans="1:12">
      <c r="A62" s="27">
        <v>50</v>
      </c>
      <c r="B62" s="57">
        <v>200944407</v>
      </c>
      <c r="C62" s="58" t="s">
        <v>88</v>
      </c>
      <c r="D62" s="28">
        <v>8.36</v>
      </c>
      <c r="E62" s="28">
        <v>5.4</v>
      </c>
      <c r="F62" s="28">
        <v>9</v>
      </c>
      <c r="G62" s="28">
        <v>0</v>
      </c>
      <c r="H62" s="28">
        <v>0</v>
      </c>
      <c r="I62" s="28">
        <v>7.62</v>
      </c>
      <c r="J62" s="28">
        <f t="shared" si="0"/>
        <v>30.380000000000003</v>
      </c>
      <c r="K62" s="28" t="s">
        <v>475</v>
      </c>
      <c r="L62" s="87">
        <v>30.38</v>
      </c>
    </row>
    <row r="63" spans="1:12">
      <c r="A63" s="27">
        <v>51</v>
      </c>
      <c r="B63" s="57">
        <v>200945275</v>
      </c>
      <c r="C63" s="58" t="s">
        <v>89</v>
      </c>
      <c r="D63" s="28">
        <v>8.6999999999999993</v>
      </c>
      <c r="E63" s="28">
        <v>9.4499999999999993</v>
      </c>
      <c r="F63" s="28">
        <v>7.8</v>
      </c>
      <c r="G63" s="28">
        <v>9</v>
      </c>
      <c r="H63" s="28">
        <v>9.6</v>
      </c>
      <c r="I63" s="28">
        <v>16.54</v>
      </c>
      <c r="J63" s="28">
        <f t="shared" si="0"/>
        <v>61.09</v>
      </c>
      <c r="K63" s="28">
        <v>9.5</v>
      </c>
      <c r="L63" s="87">
        <f>+K63+J63</f>
        <v>70.59</v>
      </c>
    </row>
    <row r="64" spans="1:12">
      <c r="A64" s="27">
        <v>52</v>
      </c>
      <c r="B64" s="57">
        <v>200945795</v>
      </c>
      <c r="C64" s="58" t="s">
        <v>90</v>
      </c>
      <c r="D64" s="28">
        <v>5</v>
      </c>
      <c r="E64" s="28">
        <v>4.5</v>
      </c>
      <c r="F64" s="28">
        <v>4.5</v>
      </c>
      <c r="G64" s="28">
        <v>2.1</v>
      </c>
      <c r="H64" s="28">
        <v>0</v>
      </c>
      <c r="I64" s="28">
        <v>6.04</v>
      </c>
      <c r="J64" s="28">
        <f t="shared" si="0"/>
        <v>22.14</v>
      </c>
      <c r="K64" s="28" t="s">
        <v>475</v>
      </c>
      <c r="L64" s="87">
        <v>22.14</v>
      </c>
    </row>
    <row r="65" spans="1:12">
      <c r="A65" s="29"/>
      <c r="B65" s="29"/>
      <c r="C65" s="30"/>
      <c r="D65" s="36"/>
      <c r="E65" s="36"/>
      <c r="F65" s="36"/>
      <c r="G65" s="36"/>
      <c r="H65" s="36"/>
      <c r="I65" s="36"/>
      <c r="J65" s="36"/>
      <c r="K65" s="36"/>
      <c r="L65" s="89"/>
    </row>
    <row r="66" spans="1:12">
      <c r="A66" s="29"/>
      <c r="B66" s="29"/>
      <c r="C66" s="30"/>
      <c r="D66" s="36"/>
      <c r="E66" s="36"/>
      <c r="F66" s="36"/>
      <c r="G66" s="36"/>
      <c r="H66" s="36"/>
      <c r="I66" s="36"/>
      <c r="J66" s="36"/>
      <c r="K66" s="36"/>
      <c r="L66" s="89"/>
    </row>
    <row r="67" spans="1:12" ht="17.25" thickBot="1">
      <c r="A67" s="29"/>
      <c r="B67" s="29"/>
      <c r="C67" s="30"/>
      <c r="D67" s="36"/>
      <c r="E67" s="36"/>
      <c r="F67" s="36"/>
      <c r="G67" s="36"/>
      <c r="H67" s="90"/>
      <c r="I67" s="90"/>
      <c r="J67" s="90"/>
      <c r="K67" s="7"/>
      <c r="L67" s="89"/>
    </row>
    <row r="68" spans="1:12">
      <c r="H68" s="101" t="s">
        <v>453</v>
      </c>
      <c r="I68" s="101"/>
      <c r="J68" s="101"/>
      <c r="L68" s="84"/>
    </row>
    <row r="69" spans="1:12">
      <c r="D69" s="36"/>
      <c r="H69" s="101" t="s">
        <v>21</v>
      </c>
      <c r="I69" s="101"/>
      <c r="J69" s="101"/>
      <c r="L69" s="84"/>
    </row>
    <row r="70" spans="1:12">
      <c r="D70" s="36"/>
      <c r="H70" s="101" t="s">
        <v>454</v>
      </c>
      <c r="I70" s="101"/>
      <c r="J70" s="101"/>
      <c r="L70" s="84"/>
    </row>
    <row r="85" spans="1:12" ht="17.25" thickBot="1">
      <c r="A85" s="84" t="s">
        <v>0</v>
      </c>
    </row>
    <row r="86" spans="1:12">
      <c r="A86" s="84" t="s">
        <v>1</v>
      </c>
      <c r="F86" s="4"/>
      <c r="G86" s="5"/>
      <c r="H86" s="6"/>
      <c r="I86" s="7"/>
    </row>
    <row r="87" spans="1:12">
      <c r="A87" s="13" t="s">
        <v>2</v>
      </c>
      <c r="B87" s="7"/>
      <c r="E87" s="7"/>
      <c r="F87" s="10"/>
      <c r="G87" s="11"/>
      <c r="H87" s="12"/>
      <c r="I87" s="7"/>
    </row>
    <row r="88" spans="1:12" ht="17.25" thickBot="1">
      <c r="A88" s="13" t="s">
        <v>3</v>
      </c>
      <c r="B88" s="7"/>
      <c r="E88" s="7"/>
      <c r="F88" s="10"/>
      <c r="G88" s="11"/>
      <c r="H88" s="12"/>
      <c r="I88" s="7"/>
    </row>
    <row r="89" spans="1:12" ht="17.25" thickBot="1">
      <c r="A89" s="96" t="s">
        <v>22</v>
      </c>
      <c r="B89" s="97"/>
      <c r="C89" s="98"/>
      <c r="E89" s="7"/>
      <c r="F89" s="17"/>
      <c r="G89" s="18"/>
      <c r="H89" s="19"/>
      <c r="I89" s="7"/>
    </row>
    <row r="90" spans="1:12">
      <c r="A90" s="13"/>
      <c r="B90" s="7"/>
      <c r="E90" s="7"/>
    </row>
    <row r="91" spans="1:12">
      <c r="A91" s="84" t="s">
        <v>91</v>
      </c>
      <c r="B91" s="7"/>
      <c r="C91" s="85" t="s">
        <v>99</v>
      </c>
      <c r="E91" s="7"/>
    </row>
    <row r="92" spans="1:12">
      <c r="A92" s="84" t="s">
        <v>4</v>
      </c>
      <c r="C92" s="85" t="s">
        <v>457</v>
      </c>
    </row>
    <row r="93" spans="1:12">
      <c r="A93" s="84" t="s">
        <v>5</v>
      </c>
      <c r="C93" s="85" t="s">
        <v>455</v>
      </c>
    </row>
    <row r="94" spans="1:12">
      <c r="A94" s="86"/>
      <c r="B94" s="86"/>
      <c r="C94" s="86"/>
      <c r="D94" s="86"/>
      <c r="E94" s="86"/>
      <c r="F94" s="86"/>
      <c r="G94" s="86"/>
      <c r="H94" s="86"/>
      <c r="I94" s="86"/>
      <c r="J94" s="86"/>
    </row>
    <row r="95" spans="1:12">
      <c r="A95" s="84"/>
      <c r="C95" s="22" t="s">
        <v>6</v>
      </c>
      <c r="D95" s="22" t="s">
        <v>435</v>
      </c>
      <c r="E95" s="22" t="s">
        <v>435</v>
      </c>
      <c r="F95" s="22" t="s">
        <v>435</v>
      </c>
      <c r="G95" s="22" t="s">
        <v>435</v>
      </c>
      <c r="H95" s="22" t="s">
        <v>435</v>
      </c>
      <c r="I95" s="22" t="s">
        <v>7</v>
      </c>
      <c r="J95" s="22" t="s">
        <v>8</v>
      </c>
      <c r="K95" s="22" t="s">
        <v>7</v>
      </c>
      <c r="L95" s="22" t="s">
        <v>9</v>
      </c>
    </row>
    <row r="96" spans="1:12">
      <c r="A96" s="22" t="s">
        <v>10</v>
      </c>
      <c r="B96" s="22" t="s">
        <v>11</v>
      </c>
      <c r="C96" s="22" t="s">
        <v>12</v>
      </c>
      <c r="D96" s="22" t="s">
        <v>13</v>
      </c>
      <c r="E96" s="22" t="s">
        <v>14</v>
      </c>
      <c r="F96" s="22" t="s">
        <v>15</v>
      </c>
      <c r="G96" s="22" t="s">
        <v>16</v>
      </c>
      <c r="H96" s="22" t="s">
        <v>17</v>
      </c>
      <c r="I96" s="22" t="s">
        <v>95</v>
      </c>
      <c r="J96" s="22" t="s">
        <v>18</v>
      </c>
      <c r="K96" s="22" t="s">
        <v>19</v>
      </c>
      <c r="L96" s="22" t="s">
        <v>20</v>
      </c>
    </row>
    <row r="97" spans="1:12">
      <c r="A97" s="27">
        <v>1</v>
      </c>
      <c r="B97" s="57">
        <v>200741817</v>
      </c>
      <c r="C97" s="58" t="s">
        <v>104</v>
      </c>
      <c r="D97" s="28">
        <v>8.1999999999999993</v>
      </c>
      <c r="E97" s="28">
        <v>5.85</v>
      </c>
      <c r="F97" s="28">
        <v>9</v>
      </c>
      <c r="G97" s="28">
        <v>4.8</v>
      </c>
      <c r="H97" s="28">
        <v>6.15</v>
      </c>
      <c r="I97" s="28">
        <v>3.23</v>
      </c>
      <c r="J97" s="28">
        <f t="shared" ref="J97:J144" si="3">+I97+H97+G97+F97+E97+D97</f>
        <v>37.230000000000004</v>
      </c>
      <c r="K97" s="28" t="s">
        <v>475</v>
      </c>
      <c r="L97" s="87">
        <f>+J97</f>
        <v>37.230000000000004</v>
      </c>
    </row>
    <row r="98" spans="1:12">
      <c r="A98" s="88">
        <v>2</v>
      </c>
      <c r="B98" s="57">
        <v>200742769</v>
      </c>
      <c r="C98" s="58" t="s">
        <v>105</v>
      </c>
      <c r="D98" s="28">
        <v>5</v>
      </c>
      <c r="E98" s="28">
        <v>5.7</v>
      </c>
      <c r="F98" s="28">
        <v>3.3</v>
      </c>
      <c r="G98" s="28">
        <v>0</v>
      </c>
      <c r="H98" s="28">
        <v>0</v>
      </c>
      <c r="I98" s="28">
        <v>0</v>
      </c>
      <c r="J98" s="28">
        <f t="shared" si="3"/>
        <v>14</v>
      </c>
      <c r="K98" s="28" t="s">
        <v>475</v>
      </c>
      <c r="L98" s="87">
        <f>+J98</f>
        <v>14</v>
      </c>
    </row>
    <row r="99" spans="1:12">
      <c r="A99" s="27">
        <v>3</v>
      </c>
      <c r="B99" s="57">
        <v>200742775</v>
      </c>
      <c r="C99" s="60" t="s">
        <v>106</v>
      </c>
      <c r="D99" s="28">
        <v>7.8</v>
      </c>
      <c r="E99" s="28">
        <v>8.5500000000000007</v>
      </c>
      <c r="F99" s="28">
        <v>9.3000000000000007</v>
      </c>
      <c r="G99" s="28">
        <v>7.65</v>
      </c>
      <c r="H99" s="28">
        <v>0</v>
      </c>
      <c r="I99" s="28">
        <v>9.4600000000000009</v>
      </c>
      <c r="J99" s="28">
        <f t="shared" si="3"/>
        <v>42.76</v>
      </c>
      <c r="K99" s="28" t="s">
        <v>476</v>
      </c>
      <c r="L99" s="87">
        <v>42.76</v>
      </c>
    </row>
    <row r="100" spans="1:12">
      <c r="A100" s="88">
        <v>4</v>
      </c>
      <c r="B100" s="57">
        <v>200840061</v>
      </c>
      <c r="C100" s="58" t="s">
        <v>108</v>
      </c>
      <c r="D100" s="28">
        <v>4.0999999999999996</v>
      </c>
      <c r="E100" s="28">
        <v>6.3</v>
      </c>
      <c r="F100" s="28">
        <v>4.5</v>
      </c>
      <c r="G100" s="28">
        <v>0</v>
      </c>
      <c r="H100" s="28">
        <v>0</v>
      </c>
      <c r="I100" s="28">
        <v>0</v>
      </c>
      <c r="J100" s="28">
        <f t="shared" si="3"/>
        <v>14.9</v>
      </c>
      <c r="K100" s="28" t="s">
        <v>475</v>
      </c>
      <c r="L100" s="87">
        <f>+J100</f>
        <v>14.9</v>
      </c>
    </row>
    <row r="101" spans="1:12">
      <c r="A101" s="88">
        <v>5</v>
      </c>
      <c r="B101" s="57">
        <v>200840078</v>
      </c>
      <c r="C101" s="58" t="s">
        <v>110</v>
      </c>
      <c r="D101" s="28">
        <v>4.4000000000000004</v>
      </c>
      <c r="E101" s="28">
        <v>4.8</v>
      </c>
      <c r="F101" s="28">
        <v>0</v>
      </c>
      <c r="G101" s="28">
        <v>0</v>
      </c>
      <c r="H101" s="28">
        <v>0</v>
      </c>
      <c r="I101" s="28">
        <v>0</v>
      </c>
      <c r="J101" s="28">
        <f t="shared" si="3"/>
        <v>9.1999999999999993</v>
      </c>
      <c r="K101" s="28" t="s">
        <v>475</v>
      </c>
      <c r="L101" s="87">
        <f t="shared" ref="L101:L102" si="4">+J101</f>
        <v>9.1999999999999993</v>
      </c>
    </row>
    <row r="102" spans="1:12">
      <c r="A102" s="88">
        <v>6</v>
      </c>
      <c r="B102" s="57">
        <v>200840195</v>
      </c>
      <c r="C102" s="58" t="s">
        <v>113</v>
      </c>
      <c r="D102" s="28">
        <v>4</v>
      </c>
      <c r="E102" s="28">
        <v>3.3</v>
      </c>
      <c r="F102" s="28">
        <v>2.7</v>
      </c>
      <c r="G102" s="28">
        <v>2.25</v>
      </c>
      <c r="H102" s="28">
        <v>3.45</v>
      </c>
      <c r="I102" s="28">
        <v>0</v>
      </c>
      <c r="J102" s="28">
        <f t="shared" si="3"/>
        <v>15.7</v>
      </c>
      <c r="K102" s="28" t="s">
        <v>475</v>
      </c>
      <c r="L102" s="87">
        <f t="shared" si="4"/>
        <v>15.7</v>
      </c>
    </row>
    <row r="103" spans="1:12">
      <c r="A103" s="88">
        <v>7</v>
      </c>
      <c r="B103" s="57">
        <v>200840208</v>
      </c>
      <c r="C103" s="58" t="s">
        <v>115</v>
      </c>
      <c r="D103" s="28">
        <v>6.8</v>
      </c>
      <c r="E103" s="28">
        <v>4.95</v>
      </c>
      <c r="F103" s="28">
        <v>7.5</v>
      </c>
      <c r="G103" s="28">
        <v>7.05</v>
      </c>
      <c r="H103" s="28">
        <v>6</v>
      </c>
      <c r="I103" s="28">
        <v>13.37</v>
      </c>
      <c r="J103" s="28">
        <f t="shared" si="3"/>
        <v>45.67</v>
      </c>
      <c r="K103" s="28">
        <v>11</v>
      </c>
      <c r="L103" s="87">
        <f t="shared" ref="L103:L144" si="5">+K103+J103</f>
        <v>56.67</v>
      </c>
    </row>
    <row r="104" spans="1:12">
      <c r="A104" s="88">
        <v>8</v>
      </c>
      <c r="B104" s="57">
        <v>200840212</v>
      </c>
      <c r="C104" s="58" t="s">
        <v>116</v>
      </c>
      <c r="D104" s="28">
        <v>5.9</v>
      </c>
      <c r="E104" s="28">
        <v>4.05</v>
      </c>
      <c r="F104" s="28">
        <v>8.6999999999999993</v>
      </c>
      <c r="G104" s="28">
        <v>5.4</v>
      </c>
      <c r="H104" s="28">
        <v>7.5</v>
      </c>
      <c r="I104" s="28">
        <v>8.64</v>
      </c>
      <c r="J104" s="28">
        <f t="shared" si="3"/>
        <v>40.19</v>
      </c>
      <c r="K104" s="28" t="s">
        <v>475</v>
      </c>
      <c r="L104" s="87">
        <f>+J104</f>
        <v>40.19</v>
      </c>
    </row>
    <row r="105" spans="1:12">
      <c r="A105" s="88">
        <v>9</v>
      </c>
      <c r="B105" s="57">
        <v>200840224</v>
      </c>
      <c r="C105" s="58" t="s">
        <v>117</v>
      </c>
      <c r="D105" s="28">
        <v>8.8000000000000007</v>
      </c>
      <c r="E105" s="28">
        <v>8.4</v>
      </c>
      <c r="F105" s="28">
        <v>8.4</v>
      </c>
      <c r="G105" s="28">
        <v>6.3</v>
      </c>
      <c r="H105" s="28">
        <v>8.1</v>
      </c>
      <c r="I105" s="28">
        <v>10.91</v>
      </c>
      <c r="J105" s="28">
        <f t="shared" si="3"/>
        <v>50.91</v>
      </c>
      <c r="K105" s="28">
        <v>14</v>
      </c>
      <c r="L105" s="87">
        <f t="shared" si="5"/>
        <v>64.91</v>
      </c>
    </row>
    <row r="106" spans="1:12">
      <c r="A106" s="88">
        <v>10</v>
      </c>
      <c r="B106" s="57">
        <v>200840227</v>
      </c>
      <c r="C106" s="58" t="s">
        <v>118</v>
      </c>
      <c r="D106" s="28">
        <v>6.6</v>
      </c>
      <c r="E106" s="28">
        <v>5.0999999999999996</v>
      </c>
      <c r="F106" s="28">
        <v>6</v>
      </c>
      <c r="G106" s="28">
        <v>5.7</v>
      </c>
      <c r="H106" s="28">
        <v>6.45</v>
      </c>
      <c r="I106" s="28">
        <v>10.47</v>
      </c>
      <c r="J106" s="28">
        <f t="shared" si="3"/>
        <v>40.32</v>
      </c>
      <c r="K106" s="28" t="s">
        <v>475</v>
      </c>
      <c r="L106" s="87">
        <f>+J106</f>
        <v>40.32</v>
      </c>
    </row>
    <row r="107" spans="1:12">
      <c r="A107" s="88">
        <v>11</v>
      </c>
      <c r="B107" s="57">
        <v>200842083</v>
      </c>
      <c r="C107" s="58" t="s">
        <v>122</v>
      </c>
      <c r="D107" s="28">
        <v>7.4</v>
      </c>
      <c r="E107" s="28">
        <v>7.95</v>
      </c>
      <c r="F107" s="28">
        <v>9</v>
      </c>
      <c r="G107" s="28">
        <v>4.8</v>
      </c>
      <c r="H107" s="28">
        <v>6.6</v>
      </c>
      <c r="I107" s="28">
        <v>8.9600000000000009</v>
      </c>
      <c r="J107" s="28">
        <f t="shared" si="3"/>
        <v>44.71</v>
      </c>
      <c r="K107" s="28">
        <v>13.5</v>
      </c>
      <c r="L107" s="87">
        <f t="shared" si="5"/>
        <v>58.21</v>
      </c>
    </row>
    <row r="108" spans="1:12">
      <c r="A108" s="88">
        <v>12</v>
      </c>
      <c r="B108" s="57">
        <v>200842123</v>
      </c>
      <c r="C108" s="58" t="s">
        <v>123</v>
      </c>
      <c r="D108" s="28">
        <v>5.4</v>
      </c>
      <c r="E108" s="28">
        <v>6.15</v>
      </c>
      <c r="F108" s="28">
        <v>4.5</v>
      </c>
      <c r="G108" s="28">
        <v>5.0999999999999996</v>
      </c>
      <c r="H108" s="28">
        <v>2.4</v>
      </c>
      <c r="I108" s="28">
        <v>6.4</v>
      </c>
      <c r="J108" s="28">
        <f t="shared" si="3"/>
        <v>29.949999999999996</v>
      </c>
      <c r="K108" s="28" t="s">
        <v>475</v>
      </c>
      <c r="L108" s="87">
        <f>+J108</f>
        <v>29.949999999999996</v>
      </c>
    </row>
    <row r="109" spans="1:12">
      <c r="A109" s="88">
        <v>13</v>
      </c>
      <c r="B109" s="57">
        <v>200843271</v>
      </c>
      <c r="C109" s="60" t="s">
        <v>124</v>
      </c>
      <c r="D109" s="28">
        <v>1.6</v>
      </c>
      <c r="E109" s="28">
        <v>0.45</v>
      </c>
      <c r="F109" s="28">
        <v>1.5</v>
      </c>
      <c r="G109" s="28">
        <v>0</v>
      </c>
      <c r="H109" s="28">
        <v>0</v>
      </c>
      <c r="I109" s="28">
        <v>0</v>
      </c>
      <c r="J109" s="28">
        <f t="shared" si="3"/>
        <v>3.55</v>
      </c>
      <c r="K109" s="28" t="s">
        <v>475</v>
      </c>
      <c r="L109" s="87">
        <f t="shared" ref="L109:L111" si="6">+J109</f>
        <v>3.55</v>
      </c>
    </row>
    <row r="110" spans="1:12">
      <c r="A110" s="27">
        <v>14</v>
      </c>
      <c r="B110" s="57">
        <v>200843353</v>
      </c>
      <c r="C110" s="58" t="s">
        <v>125</v>
      </c>
      <c r="D110" s="28">
        <v>4.9000000000000004</v>
      </c>
      <c r="E110" s="28">
        <v>3.9</v>
      </c>
      <c r="F110" s="28">
        <v>4.8</v>
      </c>
      <c r="G110" s="28">
        <v>3.9</v>
      </c>
      <c r="H110" s="28">
        <v>0</v>
      </c>
      <c r="I110" s="28">
        <v>0</v>
      </c>
      <c r="J110" s="28">
        <f t="shared" si="3"/>
        <v>17.5</v>
      </c>
      <c r="K110" s="28" t="s">
        <v>475</v>
      </c>
      <c r="L110" s="87">
        <f t="shared" si="6"/>
        <v>17.5</v>
      </c>
    </row>
    <row r="111" spans="1:12">
      <c r="A111" s="27">
        <v>15</v>
      </c>
      <c r="B111" s="57">
        <v>200940315</v>
      </c>
      <c r="C111" s="60" t="s">
        <v>126</v>
      </c>
      <c r="D111" s="28">
        <v>5.6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f t="shared" si="3"/>
        <v>5.6</v>
      </c>
      <c r="K111" s="28" t="s">
        <v>475</v>
      </c>
      <c r="L111" s="87">
        <f t="shared" si="6"/>
        <v>5.6</v>
      </c>
    </row>
    <row r="112" spans="1:12">
      <c r="A112" s="27">
        <v>16</v>
      </c>
      <c r="B112" s="57">
        <v>200940317</v>
      </c>
      <c r="C112" s="58" t="s">
        <v>127</v>
      </c>
      <c r="D112" s="28">
        <v>7.4</v>
      </c>
      <c r="E112" s="28">
        <v>9.15</v>
      </c>
      <c r="F112" s="28">
        <v>9</v>
      </c>
      <c r="G112" s="28">
        <v>6</v>
      </c>
      <c r="H112" s="28">
        <v>8.5500000000000007</v>
      </c>
      <c r="I112" s="28">
        <v>9.93</v>
      </c>
      <c r="J112" s="28">
        <f t="shared" si="3"/>
        <v>50.03</v>
      </c>
      <c r="K112" s="28">
        <v>13</v>
      </c>
      <c r="L112" s="87">
        <f t="shared" si="5"/>
        <v>63.03</v>
      </c>
    </row>
    <row r="113" spans="1:12">
      <c r="A113" s="27">
        <v>17</v>
      </c>
      <c r="B113" s="57">
        <v>200940331</v>
      </c>
      <c r="C113" s="58" t="s">
        <v>128</v>
      </c>
      <c r="D113" s="28">
        <v>5.7</v>
      </c>
      <c r="E113" s="28">
        <v>5.25</v>
      </c>
      <c r="F113" s="28">
        <v>6.9</v>
      </c>
      <c r="G113" s="28">
        <v>5.25</v>
      </c>
      <c r="H113" s="28">
        <v>6.3</v>
      </c>
      <c r="I113" s="28">
        <v>9.42</v>
      </c>
      <c r="J113" s="28">
        <f t="shared" si="3"/>
        <v>38.82</v>
      </c>
      <c r="K113" s="28" t="s">
        <v>475</v>
      </c>
      <c r="L113" s="87">
        <f>+J113</f>
        <v>38.82</v>
      </c>
    </row>
    <row r="114" spans="1:12">
      <c r="A114" s="27">
        <v>18</v>
      </c>
      <c r="B114" s="57">
        <v>200940334</v>
      </c>
      <c r="C114" s="60" t="s">
        <v>129</v>
      </c>
      <c r="D114" s="28">
        <v>6.2</v>
      </c>
      <c r="E114" s="28">
        <v>9.6</v>
      </c>
      <c r="F114" s="28">
        <v>8.4</v>
      </c>
      <c r="G114" s="28">
        <v>6</v>
      </c>
      <c r="H114" s="28">
        <v>9</v>
      </c>
      <c r="I114" s="28">
        <v>10.66</v>
      </c>
      <c r="J114" s="28">
        <f t="shared" si="3"/>
        <v>49.860000000000007</v>
      </c>
      <c r="K114" s="28">
        <v>13.5</v>
      </c>
      <c r="L114" s="87">
        <f t="shared" si="5"/>
        <v>63.360000000000007</v>
      </c>
    </row>
    <row r="115" spans="1:12">
      <c r="A115" s="27">
        <v>19</v>
      </c>
      <c r="B115" s="57">
        <v>200940336</v>
      </c>
      <c r="C115" s="58" t="s">
        <v>130</v>
      </c>
      <c r="D115" s="28">
        <v>6.5</v>
      </c>
      <c r="E115" s="28">
        <v>8.4</v>
      </c>
      <c r="F115" s="28">
        <v>8.6999999999999993</v>
      </c>
      <c r="G115" s="28">
        <v>7.35</v>
      </c>
      <c r="H115" s="28">
        <v>7.65</v>
      </c>
      <c r="I115" s="28">
        <v>10.83</v>
      </c>
      <c r="J115" s="28">
        <f t="shared" si="3"/>
        <v>49.43</v>
      </c>
      <c r="K115" s="28">
        <v>15</v>
      </c>
      <c r="L115" s="87">
        <f t="shared" si="5"/>
        <v>64.430000000000007</v>
      </c>
    </row>
    <row r="116" spans="1:12">
      <c r="A116" s="27">
        <v>20</v>
      </c>
      <c r="B116" s="57">
        <v>200940345</v>
      </c>
      <c r="C116" s="58" t="s">
        <v>131</v>
      </c>
      <c r="D116" s="28">
        <v>6.7</v>
      </c>
      <c r="E116" s="28">
        <v>7.95</v>
      </c>
      <c r="F116" s="28">
        <v>8.1</v>
      </c>
      <c r="G116" s="28">
        <v>7.65</v>
      </c>
      <c r="H116" s="28">
        <v>8.1</v>
      </c>
      <c r="I116" s="28">
        <v>12.11</v>
      </c>
      <c r="J116" s="28">
        <f t="shared" si="3"/>
        <v>50.610000000000007</v>
      </c>
      <c r="K116" s="28">
        <v>16</v>
      </c>
      <c r="L116" s="87">
        <f t="shared" si="5"/>
        <v>66.610000000000014</v>
      </c>
    </row>
    <row r="117" spans="1:12">
      <c r="A117" s="27">
        <v>21</v>
      </c>
      <c r="B117" s="57">
        <v>200940347</v>
      </c>
      <c r="C117" s="58" t="s">
        <v>132</v>
      </c>
      <c r="D117" s="28">
        <v>4.2</v>
      </c>
      <c r="E117" s="28">
        <v>3.15</v>
      </c>
      <c r="F117" s="28">
        <v>2.7</v>
      </c>
      <c r="G117" s="28">
        <v>3.3</v>
      </c>
      <c r="H117" s="28">
        <v>0</v>
      </c>
      <c r="I117" s="28">
        <v>0</v>
      </c>
      <c r="J117" s="28">
        <f t="shared" si="3"/>
        <v>13.350000000000001</v>
      </c>
      <c r="K117" s="28" t="s">
        <v>475</v>
      </c>
      <c r="L117" s="87">
        <f>+J117</f>
        <v>13.350000000000001</v>
      </c>
    </row>
    <row r="118" spans="1:12">
      <c r="A118" s="27">
        <v>22</v>
      </c>
      <c r="B118" s="57">
        <v>200940349</v>
      </c>
      <c r="C118" s="60" t="s">
        <v>133</v>
      </c>
      <c r="D118" s="28">
        <v>6.5</v>
      </c>
      <c r="E118" s="28">
        <v>7.95</v>
      </c>
      <c r="F118" s="28">
        <v>10.199999999999999</v>
      </c>
      <c r="G118" s="28">
        <v>7.8</v>
      </c>
      <c r="H118" s="28">
        <v>9.4499999999999993</v>
      </c>
      <c r="I118" s="28">
        <v>12.27</v>
      </c>
      <c r="J118" s="28">
        <f t="shared" si="3"/>
        <v>54.17</v>
      </c>
      <c r="K118" s="28">
        <v>15</v>
      </c>
      <c r="L118" s="87">
        <f t="shared" si="5"/>
        <v>69.17</v>
      </c>
    </row>
    <row r="119" spans="1:12">
      <c r="A119" s="27">
        <v>23</v>
      </c>
      <c r="B119" s="57">
        <v>200940350</v>
      </c>
      <c r="C119" s="58" t="s">
        <v>134</v>
      </c>
      <c r="D119" s="28">
        <v>6.4</v>
      </c>
      <c r="E119" s="28">
        <v>7.5</v>
      </c>
      <c r="F119" s="28">
        <v>7.8</v>
      </c>
      <c r="G119" s="28">
        <v>8.4</v>
      </c>
      <c r="H119" s="28">
        <v>8.6999999999999993</v>
      </c>
      <c r="I119" s="28">
        <v>13.6</v>
      </c>
      <c r="J119" s="28">
        <f t="shared" si="3"/>
        <v>52.399999999999991</v>
      </c>
      <c r="K119" s="28">
        <v>12</v>
      </c>
      <c r="L119" s="87">
        <f t="shared" si="5"/>
        <v>64.399999999999991</v>
      </c>
    </row>
    <row r="120" spans="1:12">
      <c r="A120" s="27">
        <v>24</v>
      </c>
      <c r="B120" s="57">
        <v>200940483</v>
      </c>
      <c r="C120" s="58" t="s">
        <v>135</v>
      </c>
      <c r="D120" s="28">
        <v>7.8</v>
      </c>
      <c r="E120" s="28">
        <v>10.35</v>
      </c>
      <c r="F120" s="28">
        <v>9.6</v>
      </c>
      <c r="G120" s="28">
        <v>8.25</v>
      </c>
      <c r="H120" s="28">
        <v>9.6</v>
      </c>
      <c r="I120" s="28">
        <v>12.57</v>
      </c>
      <c r="J120" s="28">
        <f t="shared" si="3"/>
        <v>58.17</v>
      </c>
      <c r="K120" s="28">
        <v>14.5</v>
      </c>
      <c r="L120" s="87">
        <f t="shared" si="5"/>
        <v>72.67</v>
      </c>
    </row>
    <row r="121" spans="1:12">
      <c r="A121" s="27">
        <v>25</v>
      </c>
      <c r="B121" s="57">
        <v>200940489</v>
      </c>
      <c r="C121" s="58" t="s">
        <v>136</v>
      </c>
      <c r="D121" s="28">
        <v>6.5</v>
      </c>
      <c r="E121" s="28">
        <v>7.05</v>
      </c>
      <c r="F121" s="28">
        <v>9</v>
      </c>
      <c r="G121" s="28">
        <v>8.6999999999999993</v>
      </c>
      <c r="H121" s="28">
        <v>6.15</v>
      </c>
      <c r="I121" s="28">
        <v>11.93</v>
      </c>
      <c r="J121" s="28">
        <f t="shared" si="3"/>
        <v>49.33</v>
      </c>
      <c r="K121" s="28">
        <v>12</v>
      </c>
      <c r="L121" s="87">
        <f t="shared" si="5"/>
        <v>61.33</v>
      </c>
    </row>
    <row r="122" spans="1:12">
      <c r="A122" s="27">
        <v>26</v>
      </c>
      <c r="B122" s="57">
        <v>200940504</v>
      </c>
      <c r="C122" s="58" t="s">
        <v>137</v>
      </c>
      <c r="D122" s="28">
        <v>6.7</v>
      </c>
      <c r="E122" s="28">
        <v>8.5500000000000007</v>
      </c>
      <c r="F122" s="28">
        <v>3.6</v>
      </c>
      <c r="G122" s="28">
        <v>7.05</v>
      </c>
      <c r="H122" s="28">
        <v>0</v>
      </c>
      <c r="I122" s="28">
        <v>9.57</v>
      </c>
      <c r="J122" s="28">
        <f t="shared" si="3"/>
        <v>35.470000000000006</v>
      </c>
      <c r="K122" s="28" t="s">
        <v>475</v>
      </c>
      <c r="L122" s="87">
        <f>+J122</f>
        <v>35.470000000000006</v>
      </c>
    </row>
    <row r="123" spans="1:12">
      <c r="A123" s="27">
        <v>27</v>
      </c>
      <c r="B123" s="57">
        <v>200940512</v>
      </c>
      <c r="C123" s="58" t="s">
        <v>138</v>
      </c>
      <c r="D123" s="28">
        <v>5.0999999999999996</v>
      </c>
      <c r="E123" s="28">
        <v>5.0999999999999996</v>
      </c>
      <c r="F123" s="28">
        <v>3.9</v>
      </c>
      <c r="G123" s="28">
        <v>3.75</v>
      </c>
      <c r="H123" s="28">
        <v>5.7</v>
      </c>
      <c r="I123" s="28">
        <v>4.88</v>
      </c>
      <c r="J123" s="28">
        <f t="shared" si="3"/>
        <v>28.43</v>
      </c>
      <c r="K123" s="28" t="s">
        <v>475</v>
      </c>
      <c r="L123" s="87">
        <f t="shared" ref="L123:L125" si="7">+J123</f>
        <v>28.43</v>
      </c>
    </row>
    <row r="124" spans="1:12">
      <c r="A124" s="27">
        <v>28</v>
      </c>
      <c r="B124" s="57">
        <v>200940522</v>
      </c>
      <c r="C124" s="58" t="s">
        <v>139</v>
      </c>
      <c r="D124" s="28">
        <v>5.0999999999999996</v>
      </c>
      <c r="E124" s="28">
        <v>4.3499999999999996</v>
      </c>
      <c r="F124" s="28">
        <v>5.0999999999999996</v>
      </c>
      <c r="G124" s="28">
        <v>2.7</v>
      </c>
      <c r="H124" s="28">
        <v>4.6500000000000004</v>
      </c>
      <c r="I124" s="28">
        <v>8.23</v>
      </c>
      <c r="J124" s="28">
        <f t="shared" si="3"/>
        <v>30.130000000000003</v>
      </c>
      <c r="K124" s="28" t="s">
        <v>475</v>
      </c>
      <c r="L124" s="87">
        <f t="shared" si="7"/>
        <v>30.130000000000003</v>
      </c>
    </row>
    <row r="125" spans="1:12">
      <c r="A125" s="27">
        <v>29</v>
      </c>
      <c r="B125" s="57">
        <v>200940526</v>
      </c>
      <c r="C125" s="58" t="s">
        <v>140</v>
      </c>
      <c r="D125" s="28">
        <v>3.6</v>
      </c>
      <c r="E125" s="28">
        <v>4.2</v>
      </c>
      <c r="F125" s="28">
        <v>5.25</v>
      </c>
      <c r="G125" s="28">
        <v>2.4</v>
      </c>
      <c r="H125" s="28">
        <v>2.85</v>
      </c>
      <c r="I125" s="28">
        <v>8.9</v>
      </c>
      <c r="J125" s="28">
        <f t="shared" si="3"/>
        <v>27.2</v>
      </c>
      <c r="K125" s="28" t="s">
        <v>475</v>
      </c>
      <c r="L125" s="87">
        <f t="shared" si="7"/>
        <v>27.2</v>
      </c>
    </row>
    <row r="126" spans="1:12">
      <c r="A126" s="27">
        <v>30</v>
      </c>
      <c r="B126" s="57">
        <v>200940527</v>
      </c>
      <c r="C126" s="60" t="s">
        <v>141</v>
      </c>
      <c r="D126" s="28">
        <v>5.8</v>
      </c>
      <c r="E126" s="28">
        <v>4.6500000000000004</v>
      </c>
      <c r="F126" s="28">
        <v>6.9</v>
      </c>
      <c r="G126" s="28">
        <v>6.15</v>
      </c>
      <c r="H126" s="28">
        <v>7.8</v>
      </c>
      <c r="I126" s="28">
        <v>10.97</v>
      </c>
      <c r="J126" s="28">
        <f t="shared" si="3"/>
        <v>42.269999999999996</v>
      </c>
      <c r="K126" s="28">
        <v>9.5</v>
      </c>
      <c r="L126" s="87">
        <f t="shared" si="5"/>
        <v>51.769999999999996</v>
      </c>
    </row>
    <row r="127" spans="1:12">
      <c r="A127" s="27">
        <v>31</v>
      </c>
      <c r="B127" s="57">
        <v>200940534</v>
      </c>
      <c r="C127" s="58" t="s">
        <v>142</v>
      </c>
      <c r="D127" s="28">
        <v>6.4</v>
      </c>
      <c r="E127" s="28">
        <v>8.25</v>
      </c>
      <c r="F127" s="28">
        <v>7.5</v>
      </c>
      <c r="G127" s="28">
        <v>5.4</v>
      </c>
      <c r="H127" s="28">
        <v>7.05</v>
      </c>
      <c r="I127" s="28">
        <v>11.63</v>
      </c>
      <c r="J127" s="28">
        <f t="shared" si="3"/>
        <v>46.23</v>
      </c>
      <c r="K127" s="28">
        <v>11.5</v>
      </c>
      <c r="L127" s="87">
        <f t="shared" si="5"/>
        <v>57.73</v>
      </c>
    </row>
    <row r="128" spans="1:12">
      <c r="A128" s="27">
        <v>32</v>
      </c>
      <c r="B128" s="57">
        <v>200940535</v>
      </c>
      <c r="C128" s="58" t="s">
        <v>143</v>
      </c>
      <c r="D128" s="28">
        <v>4.5</v>
      </c>
      <c r="E128" s="28">
        <v>6.45</v>
      </c>
      <c r="F128" s="28">
        <v>7.5</v>
      </c>
      <c r="G128" s="28">
        <v>8.1</v>
      </c>
      <c r="H128" s="28">
        <v>10.5</v>
      </c>
      <c r="I128" s="28">
        <v>14</v>
      </c>
      <c r="J128" s="28">
        <f t="shared" si="3"/>
        <v>51.050000000000004</v>
      </c>
      <c r="K128" s="28">
        <v>14</v>
      </c>
      <c r="L128" s="87">
        <f t="shared" si="5"/>
        <v>65.050000000000011</v>
      </c>
    </row>
    <row r="129" spans="1:12">
      <c r="A129" s="27">
        <v>33</v>
      </c>
      <c r="B129" s="57">
        <v>200940813</v>
      </c>
      <c r="C129" s="58" t="s">
        <v>144</v>
      </c>
      <c r="D129" s="28">
        <v>3.2</v>
      </c>
      <c r="E129" s="28">
        <v>3.3</v>
      </c>
      <c r="F129" s="28">
        <v>3.15</v>
      </c>
      <c r="G129" s="28">
        <v>4.05</v>
      </c>
      <c r="H129" s="28">
        <v>5.0999999999999996</v>
      </c>
      <c r="I129" s="28">
        <v>5.33</v>
      </c>
      <c r="J129" s="28">
        <f t="shared" si="3"/>
        <v>24.13</v>
      </c>
      <c r="K129" s="28" t="s">
        <v>475</v>
      </c>
      <c r="L129" s="87">
        <f>+J129</f>
        <v>24.13</v>
      </c>
    </row>
    <row r="130" spans="1:12">
      <c r="A130" s="27">
        <v>34</v>
      </c>
      <c r="B130" s="57">
        <v>200940882</v>
      </c>
      <c r="C130" s="58" t="s">
        <v>145</v>
      </c>
      <c r="D130" s="28">
        <v>3.9</v>
      </c>
      <c r="E130" s="28">
        <v>5.4</v>
      </c>
      <c r="F130" s="28">
        <v>4.8</v>
      </c>
      <c r="G130" s="28">
        <v>8.25</v>
      </c>
      <c r="H130" s="28">
        <v>5.25</v>
      </c>
      <c r="I130" s="28">
        <v>9.2799999999999994</v>
      </c>
      <c r="J130" s="28">
        <f t="shared" si="3"/>
        <v>36.880000000000003</v>
      </c>
      <c r="K130" s="28" t="s">
        <v>475</v>
      </c>
      <c r="L130" s="87">
        <f>+J130</f>
        <v>36.880000000000003</v>
      </c>
    </row>
    <row r="131" spans="1:12">
      <c r="A131" s="27">
        <v>35</v>
      </c>
      <c r="B131" s="57">
        <v>200941031</v>
      </c>
      <c r="C131" s="58" t="s">
        <v>146</v>
      </c>
      <c r="D131" s="28">
        <v>10.3</v>
      </c>
      <c r="E131" s="28">
        <v>9.6</v>
      </c>
      <c r="F131" s="28">
        <v>9.9</v>
      </c>
      <c r="G131" s="28">
        <v>7.95</v>
      </c>
      <c r="H131" s="28">
        <v>9.9</v>
      </c>
      <c r="I131" s="28">
        <v>14.17</v>
      </c>
      <c r="J131" s="28">
        <f t="shared" si="3"/>
        <v>61.820000000000007</v>
      </c>
      <c r="K131" s="28">
        <v>15.5</v>
      </c>
      <c r="L131" s="87">
        <f t="shared" si="5"/>
        <v>77.320000000000007</v>
      </c>
    </row>
    <row r="132" spans="1:12">
      <c r="A132" s="27">
        <v>36</v>
      </c>
      <c r="B132" s="57">
        <v>200941043</v>
      </c>
      <c r="C132" s="60" t="s">
        <v>147</v>
      </c>
      <c r="D132" s="28">
        <v>5.7</v>
      </c>
      <c r="E132" s="28">
        <v>8.5500000000000007</v>
      </c>
      <c r="F132" s="28">
        <v>7.5</v>
      </c>
      <c r="G132" s="28">
        <v>4.5</v>
      </c>
      <c r="H132" s="28">
        <v>6.6</v>
      </c>
      <c r="I132" s="28">
        <v>6.98</v>
      </c>
      <c r="J132" s="28">
        <f t="shared" si="3"/>
        <v>39.83</v>
      </c>
      <c r="K132" s="28" t="s">
        <v>475</v>
      </c>
      <c r="L132" s="87">
        <f>+J132</f>
        <v>39.83</v>
      </c>
    </row>
    <row r="133" spans="1:12">
      <c r="A133" s="27">
        <v>37</v>
      </c>
      <c r="B133" s="57">
        <v>200941044</v>
      </c>
      <c r="C133" s="58" t="s">
        <v>148</v>
      </c>
      <c r="D133" s="28">
        <v>7.3</v>
      </c>
      <c r="E133" s="28">
        <v>6.45</v>
      </c>
      <c r="F133" s="28">
        <v>8.4</v>
      </c>
      <c r="G133" s="28">
        <v>8.85</v>
      </c>
      <c r="H133" s="28">
        <v>11.4</v>
      </c>
      <c r="I133" s="28">
        <v>12.03</v>
      </c>
      <c r="J133" s="28">
        <f t="shared" si="3"/>
        <v>54.43</v>
      </c>
      <c r="K133" s="28">
        <v>17</v>
      </c>
      <c r="L133" s="87">
        <f t="shared" si="5"/>
        <v>71.430000000000007</v>
      </c>
    </row>
    <row r="134" spans="1:12">
      <c r="A134" s="27">
        <v>38</v>
      </c>
      <c r="B134" s="57">
        <v>200941046</v>
      </c>
      <c r="C134" s="60" t="s">
        <v>149</v>
      </c>
      <c r="D134" s="28">
        <v>8.6</v>
      </c>
      <c r="E134" s="28">
        <v>8.1</v>
      </c>
      <c r="F134" s="28">
        <v>7.8</v>
      </c>
      <c r="G134" s="28">
        <v>5.4</v>
      </c>
      <c r="H134" s="28">
        <v>8.4</v>
      </c>
      <c r="I134" s="28">
        <v>12.72</v>
      </c>
      <c r="J134" s="28">
        <f t="shared" si="3"/>
        <v>51.02</v>
      </c>
      <c r="K134" s="28">
        <v>12.5</v>
      </c>
      <c r="L134" s="87">
        <f t="shared" si="5"/>
        <v>63.52</v>
      </c>
    </row>
    <row r="135" spans="1:12">
      <c r="A135" s="27">
        <v>39</v>
      </c>
      <c r="B135" s="57">
        <v>200941422</v>
      </c>
      <c r="C135" s="60" t="s">
        <v>150</v>
      </c>
      <c r="D135" s="28">
        <v>3.6</v>
      </c>
      <c r="E135" s="28">
        <v>2.4</v>
      </c>
      <c r="F135" s="28">
        <v>4.5</v>
      </c>
      <c r="G135" s="28">
        <v>4.05</v>
      </c>
      <c r="H135" s="28">
        <v>0</v>
      </c>
      <c r="I135" s="28">
        <v>0</v>
      </c>
      <c r="J135" s="28">
        <f t="shared" si="3"/>
        <v>14.55</v>
      </c>
      <c r="K135" s="28" t="s">
        <v>475</v>
      </c>
      <c r="L135" s="87">
        <f>+J135</f>
        <v>14.55</v>
      </c>
    </row>
    <row r="136" spans="1:12">
      <c r="A136" s="27">
        <v>40</v>
      </c>
      <c r="B136" s="57">
        <v>200941434</v>
      </c>
      <c r="C136" s="58" t="s">
        <v>151</v>
      </c>
      <c r="D136" s="28">
        <v>6.8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f t="shared" si="3"/>
        <v>6.8</v>
      </c>
      <c r="K136" s="28" t="s">
        <v>475</v>
      </c>
      <c r="L136" s="87">
        <f t="shared" ref="L136:L139" si="8">+J136</f>
        <v>6.8</v>
      </c>
    </row>
    <row r="137" spans="1:12">
      <c r="A137" s="27">
        <v>41</v>
      </c>
      <c r="B137" s="57">
        <v>200941685</v>
      </c>
      <c r="C137" s="58" t="s">
        <v>152</v>
      </c>
      <c r="D137" s="28">
        <v>3.8</v>
      </c>
      <c r="E137" s="28">
        <v>3.75</v>
      </c>
      <c r="F137" s="28">
        <v>5.4</v>
      </c>
      <c r="G137" s="28">
        <v>6.75</v>
      </c>
      <c r="H137" s="28">
        <v>7.35</v>
      </c>
      <c r="I137" s="28">
        <v>8.6999999999999993</v>
      </c>
      <c r="J137" s="28">
        <f t="shared" si="3"/>
        <v>35.749999999999993</v>
      </c>
      <c r="K137" s="28" t="s">
        <v>475</v>
      </c>
      <c r="L137" s="87">
        <f t="shared" si="8"/>
        <v>35.749999999999993</v>
      </c>
    </row>
    <row r="138" spans="1:12">
      <c r="A138" s="27">
        <v>42</v>
      </c>
      <c r="B138" s="57">
        <v>200941860</v>
      </c>
      <c r="C138" s="60" t="s">
        <v>153</v>
      </c>
      <c r="D138" s="28">
        <v>4.8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f t="shared" si="3"/>
        <v>4.8</v>
      </c>
      <c r="K138" s="28" t="s">
        <v>475</v>
      </c>
      <c r="L138" s="87">
        <f t="shared" si="8"/>
        <v>4.8</v>
      </c>
    </row>
    <row r="139" spans="1:12">
      <c r="A139" s="27">
        <v>43</v>
      </c>
      <c r="B139" s="57">
        <v>200942657</v>
      </c>
      <c r="C139" s="58" t="s">
        <v>154</v>
      </c>
      <c r="D139" s="28">
        <v>7</v>
      </c>
      <c r="E139" s="28">
        <v>6.6</v>
      </c>
      <c r="F139" s="28">
        <v>8.1</v>
      </c>
      <c r="G139" s="28">
        <v>0</v>
      </c>
      <c r="H139" s="28">
        <v>0</v>
      </c>
      <c r="I139" s="28">
        <v>0</v>
      </c>
      <c r="J139" s="28">
        <f t="shared" si="3"/>
        <v>21.7</v>
      </c>
      <c r="K139" s="28" t="s">
        <v>475</v>
      </c>
      <c r="L139" s="87">
        <f t="shared" si="8"/>
        <v>21.7</v>
      </c>
    </row>
    <row r="140" spans="1:12">
      <c r="A140" s="27">
        <v>44</v>
      </c>
      <c r="B140" s="57">
        <v>200942659</v>
      </c>
      <c r="C140" s="58" t="s">
        <v>155</v>
      </c>
      <c r="D140" s="28">
        <v>7</v>
      </c>
      <c r="E140" s="28">
        <v>7.2</v>
      </c>
      <c r="F140" s="28">
        <v>7.8</v>
      </c>
      <c r="G140" s="28">
        <v>4.6500000000000004</v>
      </c>
      <c r="H140" s="28">
        <v>9.3000000000000007</v>
      </c>
      <c r="I140" s="28">
        <v>12.83</v>
      </c>
      <c r="J140" s="28">
        <f t="shared" si="3"/>
        <v>48.78</v>
      </c>
      <c r="K140" s="28">
        <v>12.5</v>
      </c>
      <c r="L140" s="87">
        <f t="shared" si="5"/>
        <v>61.28</v>
      </c>
    </row>
    <row r="141" spans="1:12">
      <c r="A141" s="27">
        <v>45</v>
      </c>
      <c r="B141" s="57">
        <v>200942662</v>
      </c>
      <c r="C141" s="58" t="s">
        <v>156</v>
      </c>
      <c r="D141" s="28">
        <v>9.1999999999999993</v>
      </c>
      <c r="E141" s="28">
        <v>5.85</v>
      </c>
      <c r="F141" s="28">
        <v>6.6</v>
      </c>
      <c r="G141" s="28">
        <v>8.85</v>
      </c>
      <c r="H141" s="28">
        <v>9.15</v>
      </c>
      <c r="I141" s="28">
        <v>3.57</v>
      </c>
      <c r="J141" s="28">
        <f t="shared" si="3"/>
        <v>43.22</v>
      </c>
      <c r="K141" s="28">
        <v>15.5</v>
      </c>
      <c r="L141" s="87">
        <f t="shared" si="5"/>
        <v>58.72</v>
      </c>
    </row>
    <row r="142" spans="1:12">
      <c r="A142" s="27">
        <v>46</v>
      </c>
      <c r="B142" s="57">
        <v>200942689</v>
      </c>
      <c r="C142" s="58" t="s">
        <v>157</v>
      </c>
      <c r="D142" s="28">
        <v>7.6</v>
      </c>
      <c r="E142" s="28">
        <v>7.95</v>
      </c>
      <c r="F142" s="28">
        <v>9</v>
      </c>
      <c r="G142" s="28">
        <v>5.85</v>
      </c>
      <c r="H142" s="28">
        <v>9.9</v>
      </c>
      <c r="I142" s="28">
        <v>12.63</v>
      </c>
      <c r="J142" s="28">
        <f t="shared" si="3"/>
        <v>52.930000000000007</v>
      </c>
      <c r="K142" s="28">
        <v>14.5</v>
      </c>
      <c r="L142" s="87">
        <f t="shared" si="5"/>
        <v>67.430000000000007</v>
      </c>
    </row>
    <row r="143" spans="1:12">
      <c r="A143" s="27">
        <v>47</v>
      </c>
      <c r="B143" s="57">
        <v>200942711</v>
      </c>
      <c r="C143" s="58" t="s">
        <v>158</v>
      </c>
      <c r="D143" s="28">
        <v>5</v>
      </c>
      <c r="E143" s="28">
        <v>5.4</v>
      </c>
      <c r="F143" s="28">
        <v>6</v>
      </c>
      <c r="G143" s="28">
        <v>4.6500000000000004</v>
      </c>
      <c r="H143" s="28">
        <v>0</v>
      </c>
      <c r="I143" s="28">
        <v>0</v>
      </c>
      <c r="J143" s="28">
        <f t="shared" si="3"/>
        <v>21.05</v>
      </c>
      <c r="K143" s="28" t="s">
        <v>475</v>
      </c>
      <c r="L143" s="87">
        <f>+J143</f>
        <v>21.05</v>
      </c>
    </row>
    <row r="144" spans="1:12">
      <c r="A144" s="27">
        <v>48</v>
      </c>
      <c r="B144" s="57">
        <v>200942840</v>
      </c>
      <c r="C144" s="58" t="s">
        <v>159</v>
      </c>
      <c r="D144" s="28">
        <v>7.2</v>
      </c>
      <c r="E144" s="28">
        <v>6.9</v>
      </c>
      <c r="F144" s="28">
        <v>9.9</v>
      </c>
      <c r="G144" s="28">
        <v>8.25</v>
      </c>
      <c r="H144" s="28">
        <v>9</v>
      </c>
      <c r="I144" s="28">
        <v>10.8</v>
      </c>
      <c r="J144" s="28">
        <f t="shared" si="3"/>
        <v>52.050000000000004</v>
      </c>
      <c r="K144" s="28">
        <v>16</v>
      </c>
      <c r="L144" s="87">
        <f t="shared" si="5"/>
        <v>68.050000000000011</v>
      </c>
    </row>
    <row r="145" spans="1:12">
      <c r="A145" s="27">
        <v>49</v>
      </c>
      <c r="B145" s="57">
        <v>200943360</v>
      </c>
      <c r="C145" s="58" t="s">
        <v>160</v>
      </c>
      <c r="D145" s="28">
        <v>2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f t="shared" ref="J145:J149" si="9">+I145+H145+G145+F145+E145+D145</f>
        <v>2</v>
      </c>
      <c r="K145" s="28" t="s">
        <v>475</v>
      </c>
      <c r="L145" s="87">
        <f>+J145</f>
        <v>2</v>
      </c>
    </row>
    <row r="146" spans="1:12">
      <c r="A146" s="27">
        <v>50</v>
      </c>
      <c r="B146" s="57">
        <v>200944091</v>
      </c>
      <c r="C146" s="60" t="s">
        <v>161</v>
      </c>
      <c r="D146" s="28">
        <v>5.9</v>
      </c>
      <c r="E146" s="28">
        <v>8.25</v>
      </c>
      <c r="F146" s="28">
        <v>7.8</v>
      </c>
      <c r="G146" s="28">
        <v>6.9</v>
      </c>
      <c r="H146" s="28">
        <v>9.3000000000000007</v>
      </c>
      <c r="I146" s="28">
        <v>10.5</v>
      </c>
      <c r="J146" s="28">
        <f t="shared" si="9"/>
        <v>48.65</v>
      </c>
      <c r="K146" s="28">
        <v>16.5</v>
      </c>
      <c r="L146" s="87">
        <f t="shared" ref="L146:L147" si="10">+K146+J146</f>
        <v>65.150000000000006</v>
      </c>
    </row>
    <row r="147" spans="1:12">
      <c r="A147" s="27">
        <v>51</v>
      </c>
      <c r="B147" s="57">
        <v>200944093</v>
      </c>
      <c r="C147" s="60" t="s">
        <v>162</v>
      </c>
      <c r="D147" s="28">
        <v>6.7</v>
      </c>
      <c r="E147" s="28">
        <v>6.45</v>
      </c>
      <c r="F147" s="28">
        <v>8.1</v>
      </c>
      <c r="G147" s="28">
        <v>7.35</v>
      </c>
      <c r="H147" s="28">
        <v>10.35</v>
      </c>
      <c r="I147" s="28">
        <v>13.19</v>
      </c>
      <c r="J147" s="28">
        <f t="shared" si="9"/>
        <v>52.140000000000008</v>
      </c>
      <c r="K147" s="28">
        <v>13.5</v>
      </c>
      <c r="L147" s="87">
        <f t="shared" si="10"/>
        <v>65.640000000000015</v>
      </c>
    </row>
    <row r="148" spans="1:12">
      <c r="A148" s="27">
        <v>52</v>
      </c>
      <c r="B148" s="57">
        <v>200944809</v>
      </c>
      <c r="C148" s="58" t="s">
        <v>163</v>
      </c>
      <c r="D148" s="28">
        <v>6.1</v>
      </c>
      <c r="E148" s="28">
        <v>4.6500000000000004</v>
      </c>
      <c r="F148" s="28">
        <v>7.2</v>
      </c>
      <c r="G148" s="28">
        <v>0</v>
      </c>
      <c r="H148" s="28">
        <v>0</v>
      </c>
      <c r="I148" s="28">
        <v>0</v>
      </c>
      <c r="J148" s="28">
        <f t="shared" si="9"/>
        <v>17.950000000000003</v>
      </c>
      <c r="K148" s="28" t="s">
        <v>475</v>
      </c>
      <c r="L148" s="87">
        <f>+J148</f>
        <v>17.950000000000003</v>
      </c>
    </row>
    <row r="149" spans="1:12">
      <c r="A149" s="27">
        <v>53</v>
      </c>
      <c r="B149" s="57">
        <v>200944811</v>
      </c>
      <c r="C149" s="60" t="s">
        <v>164</v>
      </c>
      <c r="D149" s="28">
        <v>3.9</v>
      </c>
      <c r="E149" s="28">
        <v>4.5</v>
      </c>
      <c r="F149" s="28">
        <v>4.5</v>
      </c>
      <c r="G149" s="28">
        <v>3.6</v>
      </c>
      <c r="H149" s="28">
        <v>6.6</v>
      </c>
      <c r="I149" s="28">
        <v>7.3</v>
      </c>
      <c r="J149" s="28">
        <f t="shared" si="9"/>
        <v>30.4</v>
      </c>
      <c r="K149" s="28" t="s">
        <v>475</v>
      </c>
      <c r="L149" s="87">
        <f>+J149</f>
        <v>30.4</v>
      </c>
    </row>
    <row r="150" spans="1:12">
      <c r="A150" s="27">
        <v>54</v>
      </c>
      <c r="B150" s="57">
        <v>200945123</v>
      </c>
      <c r="C150" s="60" t="s">
        <v>165</v>
      </c>
      <c r="D150" s="28">
        <v>6.9</v>
      </c>
      <c r="E150" s="28">
        <v>7.95</v>
      </c>
      <c r="F150" s="28">
        <v>6</v>
      </c>
      <c r="G150" s="28">
        <v>5.0999999999999996</v>
      </c>
      <c r="H150" s="28">
        <v>7.8</v>
      </c>
      <c r="I150" s="28">
        <v>11.3</v>
      </c>
      <c r="J150" s="28">
        <f>+I150+H150+G150+F150+E150+D150</f>
        <v>45.050000000000004</v>
      </c>
      <c r="K150" s="28">
        <v>13.5</v>
      </c>
      <c r="L150" s="87">
        <f>+K150+J150</f>
        <v>58.550000000000004</v>
      </c>
    </row>
    <row r="151" spans="1:12">
      <c r="A151" s="27">
        <v>55</v>
      </c>
      <c r="B151" s="57">
        <v>200945126</v>
      </c>
      <c r="C151" s="60" t="s">
        <v>166</v>
      </c>
      <c r="D151" s="28">
        <v>3.5</v>
      </c>
      <c r="E151" s="28">
        <v>4.8</v>
      </c>
      <c r="F151" s="28">
        <v>6</v>
      </c>
      <c r="G151" s="28">
        <v>0</v>
      </c>
      <c r="H151" s="28">
        <v>0</v>
      </c>
      <c r="I151" s="28">
        <v>0</v>
      </c>
      <c r="J151" s="28">
        <f>+I151+H151+G151+F151+E151+D151</f>
        <v>14.3</v>
      </c>
      <c r="K151" s="28" t="s">
        <v>475</v>
      </c>
      <c r="L151" s="87">
        <f>+J151</f>
        <v>14.3</v>
      </c>
    </row>
    <row r="152" spans="1:12">
      <c r="A152" s="27">
        <v>56</v>
      </c>
      <c r="B152" s="57">
        <v>200980007</v>
      </c>
      <c r="C152" s="58" t="s">
        <v>167</v>
      </c>
      <c r="D152" s="28">
        <v>7.8</v>
      </c>
      <c r="E152" s="28">
        <v>9.15</v>
      </c>
      <c r="F152" s="28">
        <v>7.5</v>
      </c>
      <c r="G152" s="28">
        <v>9.3000000000000007</v>
      </c>
      <c r="H152" s="28">
        <v>9.6</v>
      </c>
      <c r="I152" s="28">
        <v>11.8</v>
      </c>
      <c r="J152" s="28">
        <f>+I152+H152+G152+F152+E152+D152</f>
        <v>55.15</v>
      </c>
      <c r="K152" s="28">
        <v>15</v>
      </c>
      <c r="L152" s="87">
        <f>+K152+J152</f>
        <v>70.150000000000006</v>
      </c>
    </row>
    <row r="153" spans="1:12">
      <c r="A153" s="29"/>
      <c r="B153" s="29"/>
      <c r="C153" s="30"/>
      <c r="D153" s="36"/>
      <c r="E153" s="36"/>
      <c r="F153" s="36"/>
      <c r="G153" s="36"/>
      <c r="H153" s="36"/>
      <c r="I153" s="36"/>
      <c r="J153" s="36"/>
      <c r="K153" s="36"/>
      <c r="L153" s="89"/>
    </row>
    <row r="154" spans="1:12">
      <c r="A154" s="29"/>
      <c r="B154" s="29"/>
      <c r="C154" s="30"/>
      <c r="D154" s="36"/>
      <c r="E154" s="36"/>
      <c r="F154" s="36"/>
      <c r="G154" s="36"/>
      <c r="H154" s="36"/>
      <c r="I154" s="36"/>
      <c r="J154" s="36"/>
      <c r="K154" s="36"/>
      <c r="L154" s="89"/>
    </row>
    <row r="155" spans="1:12" ht="17.25" thickBot="1">
      <c r="A155" s="29"/>
      <c r="B155" s="29"/>
      <c r="C155" s="30"/>
      <c r="D155" s="36"/>
      <c r="E155" s="36"/>
      <c r="F155" s="36"/>
      <c r="G155" s="36"/>
      <c r="H155" s="90"/>
      <c r="I155" s="90"/>
      <c r="J155" s="90"/>
      <c r="K155" s="7"/>
      <c r="L155" s="89"/>
    </row>
    <row r="156" spans="1:12">
      <c r="H156" s="101" t="s">
        <v>456</v>
      </c>
      <c r="I156" s="101"/>
      <c r="J156" s="101"/>
      <c r="L156" s="84"/>
    </row>
    <row r="157" spans="1:12">
      <c r="D157" s="36"/>
      <c r="H157" s="101" t="s">
        <v>430</v>
      </c>
      <c r="I157" s="101"/>
      <c r="J157" s="101"/>
      <c r="L157" s="84"/>
    </row>
    <row r="158" spans="1:12">
      <c r="D158" s="36"/>
      <c r="H158" s="101" t="s">
        <v>454</v>
      </c>
      <c r="I158" s="101"/>
      <c r="J158" s="101"/>
      <c r="L158" s="84"/>
    </row>
    <row r="169" spans="1:9" ht="17.25" thickBot="1">
      <c r="A169" s="84" t="s">
        <v>0</v>
      </c>
    </row>
    <row r="170" spans="1:9">
      <c r="A170" s="84" t="s">
        <v>1</v>
      </c>
      <c r="F170" s="4"/>
      <c r="G170" s="5"/>
      <c r="H170" s="6"/>
      <c r="I170" s="7"/>
    </row>
    <row r="171" spans="1:9">
      <c r="A171" s="13" t="s">
        <v>2</v>
      </c>
      <c r="B171" s="7"/>
      <c r="E171" s="7"/>
      <c r="F171" s="10"/>
      <c r="G171" s="11"/>
      <c r="H171" s="12"/>
      <c r="I171" s="7"/>
    </row>
    <row r="172" spans="1:9" ht="17.25" thickBot="1">
      <c r="A172" s="13" t="s">
        <v>3</v>
      </c>
      <c r="B172" s="7"/>
      <c r="E172" s="7"/>
      <c r="F172" s="10"/>
      <c r="G172" s="11"/>
      <c r="H172" s="12"/>
      <c r="I172" s="7"/>
    </row>
    <row r="173" spans="1:9" ht="17.25" thickBot="1">
      <c r="A173" s="96" t="s">
        <v>22</v>
      </c>
      <c r="B173" s="97"/>
      <c r="C173" s="98"/>
      <c r="E173" s="7"/>
      <c r="F173" s="17"/>
      <c r="G173" s="18"/>
      <c r="H173" s="19"/>
      <c r="I173" s="7"/>
    </row>
    <row r="174" spans="1:9">
      <c r="A174" s="13"/>
      <c r="B174" s="7"/>
      <c r="E174" s="7"/>
    </row>
    <row r="175" spans="1:9">
      <c r="A175" s="84" t="s">
        <v>91</v>
      </c>
      <c r="B175" s="7"/>
      <c r="C175" s="85" t="s">
        <v>168</v>
      </c>
      <c r="E175" s="7"/>
    </row>
    <row r="176" spans="1:9">
      <c r="A176" s="84" t="s">
        <v>4</v>
      </c>
      <c r="C176" s="85" t="s">
        <v>457</v>
      </c>
    </row>
    <row r="177" spans="1:12">
      <c r="A177" s="84" t="s">
        <v>5</v>
      </c>
      <c r="C177" s="85" t="s">
        <v>455</v>
      </c>
    </row>
    <row r="178" spans="1:12">
      <c r="A178" s="86"/>
      <c r="B178" s="86"/>
      <c r="C178" s="86"/>
      <c r="D178" s="86"/>
      <c r="E178" s="86"/>
      <c r="F178" s="86"/>
      <c r="G178" s="86"/>
      <c r="H178" s="86"/>
      <c r="I178" s="86"/>
      <c r="J178" s="86"/>
    </row>
    <row r="179" spans="1:12">
      <c r="A179" s="84"/>
      <c r="C179" s="22" t="s">
        <v>6</v>
      </c>
      <c r="D179" s="22" t="s">
        <v>435</v>
      </c>
      <c r="E179" s="22" t="s">
        <v>435</v>
      </c>
      <c r="F179" s="22" t="s">
        <v>435</v>
      </c>
      <c r="G179" s="22" t="s">
        <v>435</v>
      </c>
      <c r="H179" s="22" t="s">
        <v>435</v>
      </c>
      <c r="I179" s="22" t="s">
        <v>7</v>
      </c>
      <c r="J179" s="22" t="s">
        <v>8</v>
      </c>
      <c r="K179" s="22" t="s">
        <v>7</v>
      </c>
      <c r="L179" s="22" t="s">
        <v>9</v>
      </c>
    </row>
    <row r="180" spans="1:12">
      <c r="A180" s="22" t="s">
        <v>10</v>
      </c>
      <c r="B180" s="22" t="s">
        <v>11</v>
      </c>
      <c r="C180" s="22" t="s">
        <v>12</v>
      </c>
      <c r="D180" s="22" t="s">
        <v>13</v>
      </c>
      <c r="E180" s="22" t="s">
        <v>14</v>
      </c>
      <c r="F180" s="22" t="s">
        <v>15</v>
      </c>
      <c r="G180" s="22" t="s">
        <v>16</v>
      </c>
      <c r="H180" s="22" t="s">
        <v>17</v>
      </c>
      <c r="I180" s="22" t="s">
        <v>95</v>
      </c>
      <c r="J180" s="22" t="s">
        <v>18</v>
      </c>
      <c r="K180" s="22" t="s">
        <v>19</v>
      </c>
      <c r="L180" s="22" t="s">
        <v>20</v>
      </c>
    </row>
    <row r="181" spans="1:12">
      <c r="A181" s="27">
        <v>1</v>
      </c>
      <c r="B181" s="57">
        <v>200742804</v>
      </c>
      <c r="C181" s="58" t="s">
        <v>170</v>
      </c>
      <c r="D181" s="28">
        <v>7</v>
      </c>
      <c r="E181" s="28">
        <v>4.8</v>
      </c>
      <c r="F181" s="28">
        <v>3.9</v>
      </c>
      <c r="G181" s="28">
        <v>7.8</v>
      </c>
      <c r="H181" s="28">
        <v>9.15</v>
      </c>
      <c r="I181" s="28">
        <v>9.56</v>
      </c>
      <c r="J181" s="28">
        <f t="shared" ref="J181:J226" si="11">+I181+H181+G181+F181+E181+D181</f>
        <v>42.21</v>
      </c>
      <c r="K181" s="28" t="s">
        <v>476</v>
      </c>
      <c r="L181" s="87">
        <v>42.21</v>
      </c>
    </row>
    <row r="182" spans="1:12">
      <c r="A182" s="88">
        <v>2</v>
      </c>
      <c r="B182" s="57">
        <v>200780031</v>
      </c>
      <c r="C182" s="60" t="s">
        <v>171</v>
      </c>
      <c r="D182" s="28">
        <v>7.7</v>
      </c>
      <c r="E182" s="28">
        <v>10.199999999999999</v>
      </c>
      <c r="F182" s="28">
        <v>7.8</v>
      </c>
      <c r="G182" s="28">
        <v>7.8</v>
      </c>
      <c r="H182" s="28">
        <v>8.25</v>
      </c>
      <c r="I182" s="28">
        <v>11.84</v>
      </c>
      <c r="J182" s="28">
        <f t="shared" si="11"/>
        <v>53.59</v>
      </c>
      <c r="K182" s="28">
        <v>12</v>
      </c>
      <c r="L182" s="87">
        <f t="shared" ref="L182:L226" si="12">+K182+J182</f>
        <v>65.59</v>
      </c>
    </row>
    <row r="183" spans="1:12">
      <c r="A183" s="27">
        <v>3</v>
      </c>
      <c r="B183" s="57">
        <v>200840189</v>
      </c>
      <c r="C183" s="60" t="s">
        <v>173</v>
      </c>
      <c r="D183" s="28">
        <v>5.2</v>
      </c>
      <c r="E183" s="28">
        <v>3.6</v>
      </c>
      <c r="F183" s="28">
        <v>3.3</v>
      </c>
      <c r="G183" s="28">
        <v>2.1</v>
      </c>
      <c r="H183" s="28">
        <v>4.05</v>
      </c>
      <c r="I183" s="28">
        <v>5.5</v>
      </c>
      <c r="J183" s="28">
        <f t="shared" si="11"/>
        <v>23.75</v>
      </c>
      <c r="K183" s="28" t="s">
        <v>475</v>
      </c>
      <c r="L183" s="87">
        <f>+J183</f>
        <v>23.75</v>
      </c>
    </row>
    <row r="184" spans="1:12">
      <c r="A184" s="88">
        <v>4</v>
      </c>
      <c r="B184" s="57">
        <v>200840192</v>
      </c>
      <c r="C184" s="58" t="s">
        <v>174</v>
      </c>
      <c r="D184" s="28">
        <v>8</v>
      </c>
      <c r="E184" s="28">
        <v>9.6</v>
      </c>
      <c r="F184" s="28">
        <v>7.2</v>
      </c>
      <c r="G184" s="28">
        <v>7.65</v>
      </c>
      <c r="H184" s="28">
        <v>8.6999999999999993</v>
      </c>
      <c r="I184" s="28">
        <v>15.02</v>
      </c>
      <c r="J184" s="28">
        <f t="shared" si="11"/>
        <v>56.17</v>
      </c>
      <c r="K184" s="28">
        <v>13.5</v>
      </c>
      <c r="L184" s="87">
        <f t="shared" si="12"/>
        <v>69.67</v>
      </c>
    </row>
    <row r="185" spans="1:12">
      <c r="A185" s="88">
        <v>5</v>
      </c>
      <c r="B185" s="57">
        <v>200840193</v>
      </c>
      <c r="C185" s="58" t="s">
        <v>175</v>
      </c>
      <c r="D185" s="28">
        <v>7.6</v>
      </c>
      <c r="E185" s="28">
        <v>8.5500000000000007</v>
      </c>
      <c r="F185" s="28">
        <v>9.9</v>
      </c>
      <c r="G185" s="28">
        <v>7.95</v>
      </c>
      <c r="H185" s="28">
        <v>7.65</v>
      </c>
      <c r="I185" s="28">
        <v>14.3</v>
      </c>
      <c r="J185" s="28">
        <f t="shared" si="11"/>
        <v>55.95000000000001</v>
      </c>
      <c r="K185" s="28">
        <v>12.5</v>
      </c>
      <c r="L185" s="87">
        <f t="shared" si="12"/>
        <v>68.450000000000017</v>
      </c>
    </row>
    <row r="186" spans="1:12">
      <c r="A186" s="88">
        <v>6</v>
      </c>
      <c r="B186" s="57">
        <v>200840202</v>
      </c>
      <c r="C186" s="60" t="s">
        <v>176</v>
      </c>
      <c r="D186" s="28">
        <v>6.2</v>
      </c>
      <c r="E186" s="28">
        <v>8.1</v>
      </c>
      <c r="F186" s="28">
        <v>6.9</v>
      </c>
      <c r="G186" s="28">
        <v>6.3</v>
      </c>
      <c r="H186" s="28">
        <v>6.6</v>
      </c>
      <c r="I186" s="28">
        <v>11.57</v>
      </c>
      <c r="J186" s="28">
        <f t="shared" si="11"/>
        <v>45.670000000000009</v>
      </c>
      <c r="K186" s="28">
        <v>12</v>
      </c>
      <c r="L186" s="87">
        <f t="shared" si="12"/>
        <v>57.670000000000009</v>
      </c>
    </row>
    <row r="187" spans="1:12">
      <c r="A187" s="88">
        <v>7</v>
      </c>
      <c r="B187" s="57">
        <v>200842064</v>
      </c>
      <c r="C187" s="58" t="s">
        <v>179</v>
      </c>
      <c r="D187" s="28">
        <v>3.8</v>
      </c>
      <c r="E187" s="28">
        <v>7.35</v>
      </c>
      <c r="F187" s="28">
        <v>4.8</v>
      </c>
      <c r="G187" s="28">
        <v>0</v>
      </c>
      <c r="H187" s="28">
        <v>0</v>
      </c>
      <c r="I187" s="28">
        <v>1.83</v>
      </c>
      <c r="J187" s="28">
        <f t="shared" si="11"/>
        <v>17.78</v>
      </c>
      <c r="K187" s="28" t="s">
        <v>475</v>
      </c>
      <c r="L187" s="87">
        <f>+J187</f>
        <v>17.78</v>
      </c>
    </row>
    <row r="188" spans="1:12">
      <c r="A188" s="88">
        <v>8</v>
      </c>
      <c r="B188" s="57">
        <v>200842096</v>
      </c>
      <c r="C188" s="58" t="s">
        <v>180</v>
      </c>
      <c r="D188" s="28">
        <v>5.8</v>
      </c>
      <c r="E188" s="28">
        <v>5.4</v>
      </c>
      <c r="F188" s="28">
        <v>7.5</v>
      </c>
      <c r="G188" s="28">
        <v>3.9</v>
      </c>
      <c r="H188" s="28">
        <v>5.85</v>
      </c>
      <c r="I188" s="28">
        <v>9.7100000000000009</v>
      </c>
      <c r="J188" s="28">
        <f t="shared" si="11"/>
        <v>38.159999999999997</v>
      </c>
      <c r="K188" s="28" t="s">
        <v>475</v>
      </c>
      <c r="L188" s="87">
        <f>+J188</f>
        <v>38.159999999999997</v>
      </c>
    </row>
    <row r="189" spans="1:12">
      <c r="A189" s="88">
        <v>9</v>
      </c>
      <c r="B189" s="57">
        <v>200842099</v>
      </c>
      <c r="C189" s="58" t="s">
        <v>181</v>
      </c>
      <c r="D189" s="28">
        <v>6.8</v>
      </c>
      <c r="E189" s="28">
        <v>7.2</v>
      </c>
      <c r="F189" s="28">
        <v>7.8</v>
      </c>
      <c r="G189" s="28">
        <v>8.1</v>
      </c>
      <c r="H189" s="28">
        <v>8.4</v>
      </c>
      <c r="I189" s="28">
        <v>12.82</v>
      </c>
      <c r="J189" s="28">
        <f t="shared" si="11"/>
        <v>51.12</v>
      </c>
      <c r="K189" s="28">
        <v>14.5</v>
      </c>
      <c r="L189" s="87">
        <f t="shared" si="12"/>
        <v>65.62</v>
      </c>
    </row>
    <row r="190" spans="1:12">
      <c r="A190" s="88">
        <v>10</v>
      </c>
      <c r="B190" s="57">
        <v>200842121</v>
      </c>
      <c r="C190" s="60" t="s">
        <v>183</v>
      </c>
      <c r="D190" s="28">
        <v>7.1</v>
      </c>
      <c r="E190" s="28">
        <v>9.15</v>
      </c>
      <c r="F190" s="28">
        <v>7.5</v>
      </c>
      <c r="G190" s="28">
        <v>0</v>
      </c>
      <c r="H190" s="28">
        <v>0</v>
      </c>
      <c r="I190" s="28">
        <v>2.67</v>
      </c>
      <c r="J190" s="28">
        <f t="shared" si="11"/>
        <v>26.42</v>
      </c>
      <c r="K190" s="28" t="s">
        <v>475</v>
      </c>
      <c r="L190" s="87">
        <f>+J190</f>
        <v>26.42</v>
      </c>
    </row>
    <row r="191" spans="1:12">
      <c r="A191" s="88">
        <v>11</v>
      </c>
      <c r="B191" s="57">
        <v>200842378</v>
      </c>
      <c r="C191" s="58" t="s">
        <v>184</v>
      </c>
      <c r="D191" s="28">
        <v>3.6</v>
      </c>
      <c r="E191" s="28">
        <v>3.15</v>
      </c>
      <c r="F191" s="28">
        <v>4.3499999999999996</v>
      </c>
      <c r="G191" s="28">
        <v>5.0999999999999996</v>
      </c>
      <c r="H191" s="28">
        <v>3.15</v>
      </c>
      <c r="I191" s="28">
        <v>7.15</v>
      </c>
      <c r="J191" s="28">
        <f t="shared" si="11"/>
        <v>26.5</v>
      </c>
      <c r="K191" s="28" t="s">
        <v>475</v>
      </c>
      <c r="L191" s="87">
        <f>+J191</f>
        <v>26.5</v>
      </c>
    </row>
    <row r="192" spans="1:12">
      <c r="A192" s="88">
        <v>12</v>
      </c>
      <c r="B192" s="57">
        <v>200842436</v>
      </c>
      <c r="C192" s="58" t="s">
        <v>186</v>
      </c>
      <c r="D192" s="28">
        <v>7.4</v>
      </c>
      <c r="E192" s="28">
        <v>7.8</v>
      </c>
      <c r="F192" s="28">
        <v>7.5</v>
      </c>
      <c r="G192" s="28">
        <v>8.1</v>
      </c>
      <c r="H192" s="28">
        <v>7.5</v>
      </c>
      <c r="I192" s="28">
        <v>7.23</v>
      </c>
      <c r="J192" s="28">
        <f t="shared" si="11"/>
        <v>45.529999999999994</v>
      </c>
      <c r="K192" s="28">
        <v>10</v>
      </c>
      <c r="L192" s="87">
        <f t="shared" si="12"/>
        <v>55.529999999999994</v>
      </c>
    </row>
    <row r="193" spans="1:12">
      <c r="A193" s="88">
        <v>13</v>
      </c>
      <c r="B193" s="57">
        <v>200842450</v>
      </c>
      <c r="C193" s="58" t="s">
        <v>187</v>
      </c>
      <c r="D193" s="28">
        <v>8.3000000000000007</v>
      </c>
      <c r="E193" s="28">
        <v>7.95</v>
      </c>
      <c r="F193" s="28">
        <v>7.8</v>
      </c>
      <c r="G193" s="28">
        <v>5.85</v>
      </c>
      <c r="H193" s="28">
        <v>7.65</v>
      </c>
      <c r="I193" s="28">
        <v>11.87</v>
      </c>
      <c r="J193" s="28">
        <f t="shared" si="11"/>
        <v>49.42</v>
      </c>
      <c r="K193" s="28">
        <v>15</v>
      </c>
      <c r="L193" s="87">
        <f t="shared" si="12"/>
        <v>64.42</v>
      </c>
    </row>
    <row r="194" spans="1:12">
      <c r="A194" s="88">
        <v>14</v>
      </c>
      <c r="B194" s="57">
        <v>200843337</v>
      </c>
      <c r="C194" s="58" t="s">
        <v>188</v>
      </c>
      <c r="D194" s="28">
        <f>+E194</f>
        <v>2.5499999999999998</v>
      </c>
      <c r="E194" s="28">
        <v>2.5499999999999998</v>
      </c>
      <c r="F194" s="28">
        <v>0</v>
      </c>
      <c r="G194" s="28">
        <v>0</v>
      </c>
      <c r="H194" s="28">
        <v>0</v>
      </c>
      <c r="I194" s="28">
        <v>0</v>
      </c>
      <c r="J194" s="28">
        <f t="shared" si="11"/>
        <v>5.0999999999999996</v>
      </c>
      <c r="K194" s="28" t="s">
        <v>475</v>
      </c>
      <c r="L194" s="87">
        <f>+J194</f>
        <v>5.0999999999999996</v>
      </c>
    </row>
    <row r="195" spans="1:12">
      <c r="A195" s="27">
        <v>15</v>
      </c>
      <c r="B195" s="57">
        <v>200843789</v>
      </c>
      <c r="C195" s="58" t="s">
        <v>189</v>
      </c>
      <c r="D195" s="28">
        <v>5.8</v>
      </c>
      <c r="E195" s="28">
        <v>7.05</v>
      </c>
      <c r="F195" s="28">
        <v>7.2</v>
      </c>
      <c r="G195" s="28">
        <v>4.6500000000000004</v>
      </c>
      <c r="H195" s="28">
        <v>9.15</v>
      </c>
      <c r="I195" s="28">
        <v>10.96</v>
      </c>
      <c r="J195" s="28">
        <f t="shared" si="11"/>
        <v>44.809999999999995</v>
      </c>
      <c r="K195" s="28">
        <v>16.5</v>
      </c>
      <c r="L195" s="87">
        <f t="shared" si="12"/>
        <v>61.309999999999995</v>
      </c>
    </row>
    <row r="196" spans="1:12">
      <c r="A196" s="27">
        <v>16</v>
      </c>
      <c r="B196" s="57">
        <v>200880002</v>
      </c>
      <c r="C196" s="58" t="s">
        <v>190</v>
      </c>
      <c r="D196" s="28">
        <v>7.2</v>
      </c>
      <c r="E196" s="28">
        <v>8.25</v>
      </c>
      <c r="F196" s="28">
        <v>6</v>
      </c>
      <c r="G196" s="28">
        <v>6.6</v>
      </c>
      <c r="H196" s="28">
        <v>7.8</v>
      </c>
      <c r="I196" s="28">
        <v>11.47</v>
      </c>
      <c r="J196" s="28">
        <f t="shared" si="11"/>
        <v>47.32</v>
      </c>
      <c r="K196" s="28">
        <v>10.5</v>
      </c>
      <c r="L196" s="87">
        <f t="shared" si="12"/>
        <v>57.82</v>
      </c>
    </row>
    <row r="197" spans="1:12">
      <c r="A197" s="27">
        <v>17</v>
      </c>
      <c r="B197" s="57">
        <v>200940337</v>
      </c>
      <c r="C197" s="58" t="s">
        <v>191</v>
      </c>
      <c r="D197" s="28">
        <v>6</v>
      </c>
      <c r="E197" s="28">
        <v>6.6</v>
      </c>
      <c r="F197" s="28">
        <v>7.5</v>
      </c>
      <c r="G197" s="28">
        <v>6.45</v>
      </c>
      <c r="H197" s="28">
        <v>8.85</v>
      </c>
      <c r="I197" s="28">
        <v>12.55</v>
      </c>
      <c r="J197" s="28">
        <f t="shared" si="11"/>
        <v>47.949999999999996</v>
      </c>
      <c r="K197" s="28">
        <v>14</v>
      </c>
      <c r="L197" s="87">
        <f t="shared" si="12"/>
        <v>61.949999999999996</v>
      </c>
    </row>
    <row r="198" spans="1:12">
      <c r="A198" s="27">
        <v>18</v>
      </c>
      <c r="B198" s="57">
        <v>200940341</v>
      </c>
      <c r="C198" s="60" t="s">
        <v>192</v>
      </c>
      <c r="D198" s="28">
        <v>5.4</v>
      </c>
      <c r="E198" s="28">
        <v>7.05</v>
      </c>
      <c r="F198" s="28">
        <v>8.1</v>
      </c>
      <c r="G198" s="28">
        <v>5.0999999999999996</v>
      </c>
      <c r="H198" s="28">
        <v>9.3000000000000007</v>
      </c>
      <c r="I198" s="28">
        <v>12.23</v>
      </c>
      <c r="J198" s="28">
        <f t="shared" si="11"/>
        <v>47.18</v>
      </c>
      <c r="K198" s="28">
        <v>11</v>
      </c>
      <c r="L198" s="87">
        <f t="shared" si="12"/>
        <v>58.18</v>
      </c>
    </row>
    <row r="199" spans="1:12">
      <c r="A199" s="27">
        <v>19</v>
      </c>
      <c r="B199" s="57">
        <v>200940351</v>
      </c>
      <c r="C199" s="58" t="s">
        <v>193</v>
      </c>
      <c r="D199" s="28">
        <v>5</v>
      </c>
      <c r="E199" s="28">
        <v>3.75</v>
      </c>
      <c r="F199" s="28">
        <v>6</v>
      </c>
      <c r="G199" s="28">
        <v>3.6</v>
      </c>
      <c r="H199" s="28">
        <v>4.8</v>
      </c>
      <c r="I199" s="28">
        <v>5.9</v>
      </c>
      <c r="J199" s="28">
        <f t="shared" si="11"/>
        <v>29.049999999999997</v>
      </c>
      <c r="K199" s="28" t="s">
        <v>475</v>
      </c>
      <c r="L199" s="87">
        <f>+J199</f>
        <v>29.049999999999997</v>
      </c>
    </row>
    <row r="200" spans="1:12">
      <c r="A200" s="27">
        <v>20</v>
      </c>
      <c r="B200" s="57">
        <v>200940362</v>
      </c>
      <c r="C200" s="58" t="s">
        <v>194</v>
      </c>
      <c r="D200" s="28">
        <v>2.1</v>
      </c>
      <c r="E200" s="28">
        <v>0.6</v>
      </c>
      <c r="F200" s="28">
        <v>2.1</v>
      </c>
      <c r="G200" s="28">
        <v>0.9</v>
      </c>
      <c r="H200" s="28">
        <v>2.4</v>
      </c>
      <c r="I200" s="28">
        <v>6.57</v>
      </c>
      <c r="J200" s="28">
        <f t="shared" si="11"/>
        <v>14.67</v>
      </c>
      <c r="K200" s="28" t="s">
        <v>475</v>
      </c>
      <c r="L200" s="87">
        <f t="shared" ref="L200:L202" si="13">+J200</f>
        <v>14.67</v>
      </c>
    </row>
    <row r="201" spans="1:12">
      <c r="A201" s="27">
        <v>21</v>
      </c>
      <c r="B201" s="57">
        <v>200940369</v>
      </c>
      <c r="C201" s="58" t="s">
        <v>195</v>
      </c>
      <c r="D201" s="28">
        <v>5.2</v>
      </c>
      <c r="E201" s="28">
        <v>6.15</v>
      </c>
      <c r="F201" s="28">
        <v>0</v>
      </c>
      <c r="G201" s="28">
        <v>0</v>
      </c>
      <c r="H201" s="28">
        <v>0</v>
      </c>
      <c r="I201" s="28">
        <v>0</v>
      </c>
      <c r="J201" s="28">
        <f t="shared" si="11"/>
        <v>11.350000000000001</v>
      </c>
      <c r="K201" s="28" t="s">
        <v>475</v>
      </c>
      <c r="L201" s="87">
        <f t="shared" si="13"/>
        <v>11.350000000000001</v>
      </c>
    </row>
    <row r="202" spans="1:12">
      <c r="A202" s="27">
        <v>22</v>
      </c>
      <c r="B202" s="57">
        <v>200940429</v>
      </c>
      <c r="C202" s="58" t="s">
        <v>196</v>
      </c>
      <c r="D202" s="28">
        <v>2.6</v>
      </c>
      <c r="E202" s="28">
        <v>6.15</v>
      </c>
      <c r="F202" s="28">
        <v>3.45</v>
      </c>
      <c r="G202" s="28">
        <v>4.2</v>
      </c>
      <c r="H202" s="28">
        <v>3</v>
      </c>
      <c r="I202" s="28">
        <v>8.8699999999999992</v>
      </c>
      <c r="J202" s="28">
        <f t="shared" si="11"/>
        <v>28.270000000000003</v>
      </c>
      <c r="K202" s="28" t="s">
        <v>475</v>
      </c>
      <c r="L202" s="87">
        <f t="shared" si="13"/>
        <v>28.270000000000003</v>
      </c>
    </row>
    <row r="203" spans="1:12">
      <c r="A203" s="27">
        <v>23</v>
      </c>
      <c r="B203" s="57">
        <v>200940430</v>
      </c>
      <c r="C203" s="60" t="s">
        <v>197</v>
      </c>
      <c r="D203" s="28">
        <v>5.9</v>
      </c>
      <c r="E203" s="28">
        <v>7.8</v>
      </c>
      <c r="F203" s="28">
        <v>7.8</v>
      </c>
      <c r="G203" s="28">
        <v>5.55</v>
      </c>
      <c r="H203" s="28">
        <v>8.25</v>
      </c>
      <c r="I203" s="28">
        <v>9.82</v>
      </c>
      <c r="J203" s="28">
        <f t="shared" si="11"/>
        <v>45.12</v>
      </c>
      <c r="K203" s="28">
        <v>11.5</v>
      </c>
      <c r="L203" s="87">
        <f t="shared" si="12"/>
        <v>56.62</v>
      </c>
    </row>
    <row r="204" spans="1:12">
      <c r="A204" s="27">
        <v>24</v>
      </c>
      <c r="B204" s="57">
        <v>200940506</v>
      </c>
      <c r="C204" s="58" t="s">
        <v>198</v>
      </c>
      <c r="D204" s="28">
        <v>6.3</v>
      </c>
      <c r="E204" s="28">
        <v>5.85</v>
      </c>
      <c r="F204" s="28">
        <v>5.7</v>
      </c>
      <c r="G204" s="28">
        <v>5.25</v>
      </c>
      <c r="H204" s="28">
        <v>7.05</v>
      </c>
      <c r="I204" s="28">
        <v>9.17</v>
      </c>
      <c r="J204" s="28">
        <f t="shared" si="11"/>
        <v>39.319999999999993</v>
      </c>
      <c r="K204" s="28" t="s">
        <v>475</v>
      </c>
      <c r="L204" s="87">
        <f>+J204</f>
        <v>39.319999999999993</v>
      </c>
    </row>
    <row r="205" spans="1:12">
      <c r="A205" s="27">
        <v>25</v>
      </c>
      <c r="B205" s="57">
        <v>200940516</v>
      </c>
      <c r="C205" s="58" t="s">
        <v>199</v>
      </c>
      <c r="D205" s="28">
        <v>5.0999999999999996</v>
      </c>
      <c r="E205" s="28">
        <v>6.3</v>
      </c>
      <c r="F205" s="28">
        <v>6.6</v>
      </c>
      <c r="G205" s="28">
        <v>5.25</v>
      </c>
      <c r="H205" s="28">
        <v>7.95</v>
      </c>
      <c r="I205" s="28">
        <v>9.5</v>
      </c>
      <c r="J205" s="28">
        <f t="shared" si="11"/>
        <v>40.699999999999996</v>
      </c>
      <c r="K205" s="28" t="s">
        <v>475</v>
      </c>
      <c r="L205" s="87">
        <f t="shared" ref="L205:L206" si="14">+J205</f>
        <v>40.699999999999996</v>
      </c>
    </row>
    <row r="206" spans="1:12">
      <c r="A206" s="27">
        <v>26</v>
      </c>
      <c r="B206" s="57">
        <v>200940519</v>
      </c>
      <c r="C206" s="58" t="s">
        <v>200</v>
      </c>
      <c r="D206" s="28">
        <v>3.6</v>
      </c>
      <c r="E206" s="28">
        <v>4.3499999999999996</v>
      </c>
      <c r="F206" s="28">
        <v>5.4</v>
      </c>
      <c r="G206" s="28">
        <v>4.2</v>
      </c>
      <c r="H206" s="28">
        <v>0</v>
      </c>
      <c r="I206" s="28">
        <v>9.61</v>
      </c>
      <c r="J206" s="28">
        <f t="shared" si="11"/>
        <v>27.160000000000004</v>
      </c>
      <c r="K206" s="28" t="s">
        <v>475</v>
      </c>
      <c r="L206" s="87">
        <f t="shared" si="14"/>
        <v>27.160000000000004</v>
      </c>
    </row>
    <row r="207" spans="1:12">
      <c r="A207" s="27">
        <v>27</v>
      </c>
      <c r="B207" s="57">
        <v>200940521</v>
      </c>
      <c r="C207" s="58" t="s">
        <v>201</v>
      </c>
      <c r="D207" s="28">
        <v>7.6</v>
      </c>
      <c r="E207" s="28">
        <v>7.05</v>
      </c>
      <c r="F207" s="28">
        <v>7.8</v>
      </c>
      <c r="G207" s="28">
        <v>6.6</v>
      </c>
      <c r="H207" s="28">
        <v>9.75</v>
      </c>
      <c r="I207" s="28">
        <v>11.85</v>
      </c>
      <c r="J207" s="28">
        <f t="shared" si="11"/>
        <v>50.65</v>
      </c>
      <c r="K207" s="28">
        <v>14.5</v>
      </c>
      <c r="L207" s="87">
        <f t="shared" si="12"/>
        <v>65.150000000000006</v>
      </c>
    </row>
    <row r="208" spans="1:12">
      <c r="A208" s="27">
        <v>28</v>
      </c>
      <c r="B208" s="57">
        <v>200940523</v>
      </c>
      <c r="C208" s="60" t="s">
        <v>202</v>
      </c>
      <c r="D208" s="28">
        <v>3.8</v>
      </c>
      <c r="E208" s="28">
        <v>6.3</v>
      </c>
      <c r="F208" s="28">
        <v>4.8</v>
      </c>
      <c r="G208" s="28">
        <v>3</v>
      </c>
      <c r="H208" s="28">
        <v>5.55</v>
      </c>
      <c r="I208" s="28">
        <v>6.17</v>
      </c>
      <c r="J208" s="28">
        <f t="shared" si="11"/>
        <v>29.62</v>
      </c>
      <c r="K208" s="28" t="s">
        <v>475</v>
      </c>
      <c r="L208" s="87">
        <f>+J208</f>
        <v>29.62</v>
      </c>
    </row>
    <row r="209" spans="1:12">
      <c r="A209" s="27">
        <v>29</v>
      </c>
      <c r="B209" s="57">
        <v>200940739</v>
      </c>
      <c r="C209" s="58" t="s">
        <v>203</v>
      </c>
      <c r="D209" s="28">
        <v>5.2</v>
      </c>
      <c r="E209" s="28">
        <v>5.4</v>
      </c>
      <c r="F209" s="28">
        <v>3.6</v>
      </c>
      <c r="G209" s="28">
        <v>2.5499999999999998</v>
      </c>
      <c r="H209" s="28">
        <v>6.3</v>
      </c>
      <c r="I209" s="28">
        <v>7.94</v>
      </c>
      <c r="J209" s="28">
        <f t="shared" si="11"/>
        <v>30.99</v>
      </c>
      <c r="K209" s="28" t="s">
        <v>475</v>
      </c>
      <c r="L209" s="87">
        <f t="shared" ref="L209:L212" si="15">+J209</f>
        <v>30.99</v>
      </c>
    </row>
    <row r="210" spans="1:12">
      <c r="A210" s="27">
        <v>30</v>
      </c>
      <c r="B210" s="57">
        <v>200941008</v>
      </c>
      <c r="C210" s="60" t="s">
        <v>204</v>
      </c>
      <c r="D210" s="28">
        <v>3.4</v>
      </c>
      <c r="E210" s="28">
        <v>4.8</v>
      </c>
      <c r="F210" s="28">
        <v>6.3</v>
      </c>
      <c r="G210" s="28">
        <v>4.3499999999999996</v>
      </c>
      <c r="H210" s="28">
        <v>5.25</v>
      </c>
      <c r="I210" s="28">
        <v>8.4600000000000009</v>
      </c>
      <c r="J210" s="28">
        <f t="shared" si="11"/>
        <v>32.56</v>
      </c>
      <c r="K210" s="28" t="s">
        <v>475</v>
      </c>
      <c r="L210" s="87">
        <f t="shared" si="15"/>
        <v>32.56</v>
      </c>
    </row>
    <row r="211" spans="1:12">
      <c r="A211" s="27">
        <v>31</v>
      </c>
      <c r="B211" s="57">
        <v>200941435</v>
      </c>
      <c r="C211" s="60" t="s">
        <v>205</v>
      </c>
      <c r="D211" s="28">
        <v>3.6</v>
      </c>
      <c r="E211" s="28">
        <v>4.2</v>
      </c>
      <c r="F211" s="28">
        <v>0</v>
      </c>
      <c r="G211" s="28">
        <v>0</v>
      </c>
      <c r="H211" s="28">
        <v>0</v>
      </c>
      <c r="I211" s="28">
        <v>0</v>
      </c>
      <c r="J211" s="28">
        <f t="shared" si="11"/>
        <v>7.8000000000000007</v>
      </c>
      <c r="K211" s="28" t="s">
        <v>475</v>
      </c>
      <c r="L211" s="87">
        <f t="shared" si="15"/>
        <v>7.8000000000000007</v>
      </c>
    </row>
    <row r="212" spans="1:12">
      <c r="A212" s="27">
        <v>32</v>
      </c>
      <c r="B212" s="57">
        <v>200941436</v>
      </c>
      <c r="C212" s="58" t="s">
        <v>206</v>
      </c>
      <c r="D212" s="28">
        <v>4</v>
      </c>
      <c r="E212" s="28">
        <v>2.85</v>
      </c>
      <c r="F212" s="28">
        <v>5.0999999999999996</v>
      </c>
      <c r="G212" s="28">
        <v>3.15</v>
      </c>
      <c r="H212" s="28">
        <v>4.95</v>
      </c>
      <c r="I212" s="28">
        <v>7.91</v>
      </c>
      <c r="J212" s="28">
        <f t="shared" si="11"/>
        <v>27.96</v>
      </c>
      <c r="K212" s="28" t="s">
        <v>475</v>
      </c>
      <c r="L212" s="87">
        <f t="shared" si="15"/>
        <v>27.96</v>
      </c>
    </row>
    <row r="213" spans="1:12">
      <c r="A213" s="27">
        <v>33</v>
      </c>
      <c r="B213" s="57">
        <v>200941438</v>
      </c>
      <c r="C213" s="60" t="s">
        <v>207</v>
      </c>
      <c r="D213" s="28">
        <v>7.2</v>
      </c>
      <c r="E213" s="28">
        <v>9.4499999999999993</v>
      </c>
      <c r="F213" s="28">
        <v>9.3000000000000007</v>
      </c>
      <c r="G213" s="28">
        <v>7.2</v>
      </c>
      <c r="H213" s="28">
        <v>10.35</v>
      </c>
      <c r="I213" s="28">
        <v>13.1</v>
      </c>
      <c r="J213" s="28">
        <f t="shared" si="11"/>
        <v>56.600000000000009</v>
      </c>
      <c r="K213" s="28">
        <v>14.5</v>
      </c>
      <c r="L213" s="87">
        <f t="shared" si="12"/>
        <v>71.100000000000009</v>
      </c>
    </row>
    <row r="214" spans="1:12">
      <c r="A214" s="27">
        <v>34</v>
      </c>
      <c r="B214" s="57">
        <v>200941680</v>
      </c>
      <c r="C214" s="60" t="s">
        <v>208</v>
      </c>
      <c r="D214" s="28">
        <v>8</v>
      </c>
      <c r="E214" s="28">
        <v>9</v>
      </c>
      <c r="F214" s="28">
        <v>9.9</v>
      </c>
      <c r="G214" s="28">
        <v>9.6</v>
      </c>
      <c r="H214" s="28">
        <v>9.4499999999999993</v>
      </c>
      <c r="I214" s="28">
        <v>12.31</v>
      </c>
      <c r="J214" s="28">
        <f t="shared" si="11"/>
        <v>58.26</v>
      </c>
      <c r="K214" s="28">
        <v>7.5</v>
      </c>
      <c r="L214" s="87">
        <f t="shared" si="12"/>
        <v>65.759999999999991</v>
      </c>
    </row>
    <row r="215" spans="1:12">
      <c r="A215" s="27">
        <v>35</v>
      </c>
      <c r="B215" s="57">
        <v>200941794</v>
      </c>
      <c r="C215" s="58" t="s">
        <v>209</v>
      </c>
      <c r="D215" s="28">
        <v>7.2</v>
      </c>
      <c r="E215" s="28">
        <v>6.9</v>
      </c>
      <c r="F215" s="28">
        <v>6.6</v>
      </c>
      <c r="G215" s="28">
        <v>6.15</v>
      </c>
      <c r="H215" s="28">
        <v>8.4</v>
      </c>
      <c r="I215" s="28">
        <v>11.7</v>
      </c>
      <c r="J215" s="28">
        <f t="shared" si="11"/>
        <v>46.95</v>
      </c>
      <c r="K215" s="28">
        <v>11.5</v>
      </c>
      <c r="L215" s="87">
        <f t="shared" si="12"/>
        <v>58.45</v>
      </c>
    </row>
    <row r="216" spans="1:12">
      <c r="A216" s="27">
        <v>36</v>
      </c>
      <c r="B216" s="57">
        <v>200941891</v>
      </c>
      <c r="C216" s="60" t="s">
        <v>210</v>
      </c>
      <c r="D216" s="28">
        <v>5.8</v>
      </c>
      <c r="E216" s="28">
        <v>6.15</v>
      </c>
      <c r="F216" s="28">
        <v>8.6999999999999993</v>
      </c>
      <c r="G216" s="28">
        <v>6.9</v>
      </c>
      <c r="H216" s="28">
        <v>9.15</v>
      </c>
      <c r="I216" s="28">
        <v>11.28</v>
      </c>
      <c r="J216" s="28">
        <f t="shared" si="11"/>
        <v>47.98</v>
      </c>
      <c r="K216" s="28">
        <v>13.5</v>
      </c>
      <c r="L216" s="87">
        <f t="shared" si="12"/>
        <v>61.48</v>
      </c>
    </row>
    <row r="217" spans="1:12">
      <c r="A217" s="27">
        <v>37</v>
      </c>
      <c r="B217" s="57">
        <v>200941910</v>
      </c>
      <c r="C217" s="58" t="s">
        <v>211</v>
      </c>
      <c r="D217" s="28">
        <v>4.3</v>
      </c>
      <c r="E217" s="28">
        <v>4.05</v>
      </c>
      <c r="F217" s="28">
        <v>5.0999999999999996</v>
      </c>
      <c r="G217" s="28">
        <v>5.7</v>
      </c>
      <c r="H217" s="28">
        <v>4.3499999999999996</v>
      </c>
      <c r="I217" s="28">
        <v>10.85</v>
      </c>
      <c r="J217" s="28">
        <f t="shared" si="11"/>
        <v>34.35</v>
      </c>
      <c r="K217" s="28" t="s">
        <v>475</v>
      </c>
      <c r="L217" s="87">
        <f>+J217</f>
        <v>34.35</v>
      </c>
    </row>
    <row r="218" spans="1:12">
      <c r="A218" s="27">
        <v>38</v>
      </c>
      <c r="B218" s="57">
        <v>200942019</v>
      </c>
      <c r="C218" s="58" t="s">
        <v>212</v>
      </c>
      <c r="D218" s="28">
        <v>3</v>
      </c>
      <c r="E218" s="28">
        <v>4.6500000000000004</v>
      </c>
      <c r="F218" s="28">
        <v>5.7</v>
      </c>
      <c r="G218" s="28">
        <v>1.8</v>
      </c>
      <c r="H218" s="28">
        <v>0</v>
      </c>
      <c r="I218" s="28">
        <v>2.63</v>
      </c>
      <c r="J218" s="28">
        <f t="shared" si="11"/>
        <v>17.78</v>
      </c>
      <c r="K218" s="28" t="s">
        <v>475</v>
      </c>
      <c r="L218" s="87">
        <f t="shared" ref="L218:L219" si="16">+J218</f>
        <v>17.78</v>
      </c>
    </row>
    <row r="219" spans="1:12">
      <c r="A219" s="27">
        <v>39</v>
      </c>
      <c r="B219" s="57">
        <v>200942151</v>
      </c>
      <c r="C219" s="58" t="s">
        <v>213</v>
      </c>
      <c r="D219" s="28">
        <v>3.8</v>
      </c>
      <c r="E219" s="28">
        <v>5.7</v>
      </c>
      <c r="F219" s="28">
        <v>4.2</v>
      </c>
      <c r="G219" s="28">
        <v>4.3499999999999996</v>
      </c>
      <c r="H219" s="28">
        <v>6.6</v>
      </c>
      <c r="I219" s="28">
        <v>7.33</v>
      </c>
      <c r="J219" s="28">
        <f t="shared" si="11"/>
        <v>31.98</v>
      </c>
      <c r="K219" s="28" t="s">
        <v>475</v>
      </c>
      <c r="L219" s="87">
        <f t="shared" si="16"/>
        <v>31.98</v>
      </c>
    </row>
    <row r="220" spans="1:12">
      <c r="A220" s="27">
        <v>40</v>
      </c>
      <c r="B220" s="57">
        <v>200942666</v>
      </c>
      <c r="C220" s="58" t="s">
        <v>214</v>
      </c>
      <c r="D220" s="28">
        <v>4.7</v>
      </c>
      <c r="E220" s="28">
        <v>8.25</v>
      </c>
      <c r="F220" s="28">
        <v>7.5</v>
      </c>
      <c r="G220" s="28">
        <v>4.6500000000000004</v>
      </c>
      <c r="H220" s="28">
        <v>7.5</v>
      </c>
      <c r="I220" s="28">
        <v>9.33</v>
      </c>
      <c r="J220" s="28">
        <f t="shared" si="11"/>
        <v>41.93</v>
      </c>
      <c r="K220" s="28" t="s">
        <v>476</v>
      </c>
      <c r="L220" s="87">
        <v>41.93</v>
      </c>
    </row>
    <row r="221" spans="1:12">
      <c r="A221" s="27">
        <v>41</v>
      </c>
      <c r="B221" s="57">
        <v>200942804</v>
      </c>
      <c r="C221" s="60" t="s">
        <v>215</v>
      </c>
      <c r="D221" s="28">
        <v>3.2</v>
      </c>
      <c r="E221" s="28">
        <v>3.6</v>
      </c>
      <c r="F221" s="28">
        <v>4.2</v>
      </c>
      <c r="G221" s="28">
        <v>3</v>
      </c>
      <c r="H221" s="28">
        <v>5.55</v>
      </c>
      <c r="I221" s="28">
        <v>8.3699999999999992</v>
      </c>
      <c r="J221" s="28">
        <f t="shared" si="11"/>
        <v>27.919999999999998</v>
      </c>
      <c r="K221" s="28" t="s">
        <v>475</v>
      </c>
      <c r="L221" s="87">
        <f>+J221</f>
        <v>27.919999999999998</v>
      </c>
    </row>
    <row r="222" spans="1:12">
      <c r="A222" s="27">
        <v>42</v>
      </c>
      <c r="B222" s="57">
        <v>200942806</v>
      </c>
      <c r="C222" s="60" t="s">
        <v>216</v>
      </c>
      <c r="D222" s="28">
        <v>4.8</v>
      </c>
      <c r="E222" s="28">
        <v>6</v>
      </c>
      <c r="F222" s="28">
        <v>8.1</v>
      </c>
      <c r="G222" s="28">
        <v>5.0999999999999996</v>
      </c>
      <c r="H222" s="28">
        <v>8.85</v>
      </c>
      <c r="I222" s="28">
        <v>8.9600000000000009</v>
      </c>
      <c r="J222" s="28">
        <f t="shared" si="11"/>
        <v>41.81</v>
      </c>
      <c r="K222" s="28" t="s">
        <v>476</v>
      </c>
      <c r="L222" s="87">
        <v>41.81</v>
      </c>
    </row>
    <row r="223" spans="1:12">
      <c r="A223" s="27">
        <v>43</v>
      </c>
      <c r="B223" s="57">
        <v>200942915</v>
      </c>
      <c r="C223" s="60" t="s">
        <v>217</v>
      </c>
      <c r="D223" s="28">
        <v>5.6</v>
      </c>
      <c r="E223" s="28">
        <v>6.3</v>
      </c>
      <c r="F223" s="28">
        <v>8.4</v>
      </c>
      <c r="G223" s="28">
        <v>7.8</v>
      </c>
      <c r="H223" s="28">
        <v>0</v>
      </c>
      <c r="I223" s="28">
        <v>5.57</v>
      </c>
      <c r="J223" s="28">
        <f t="shared" si="11"/>
        <v>33.67</v>
      </c>
      <c r="K223" s="28" t="s">
        <v>475</v>
      </c>
      <c r="L223" s="87">
        <f>+J223</f>
        <v>33.67</v>
      </c>
    </row>
    <row r="224" spans="1:12">
      <c r="A224" s="27">
        <v>44</v>
      </c>
      <c r="B224" s="57">
        <v>200942930</v>
      </c>
      <c r="C224" s="60" t="s">
        <v>218</v>
      </c>
      <c r="D224" s="28">
        <v>3.8</v>
      </c>
      <c r="E224" s="28">
        <v>6.6</v>
      </c>
      <c r="F224" s="28">
        <v>7.2</v>
      </c>
      <c r="G224" s="28">
        <v>6.15</v>
      </c>
      <c r="H224" s="28">
        <v>7.65</v>
      </c>
      <c r="I224" s="28">
        <v>7.25</v>
      </c>
      <c r="J224" s="28">
        <f t="shared" si="11"/>
        <v>38.65</v>
      </c>
      <c r="K224" s="28" t="s">
        <v>475</v>
      </c>
      <c r="L224" s="87">
        <f t="shared" ref="L224:L225" si="17">+J224</f>
        <v>38.65</v>
      </c>
    </row>
    <row r="225" spans="1:12">
      <c r="A225" s="27">
        <v>45</v>
      </c>
      <c r="B225" s="57">
        <v>200942987</v>
      </c>
      <c r="C225" s="58" t="s">
        <v>219</v>
      </c>
      <c r="D225" s="28">
        <v>2.4</v>
      </c>
      <c r="E225" s="28">
        <v>2.7</v>
      </c>
      <c r="F225" s="28">
        <v>2.7</v>
      </c>
      <c r="G225" s="28">
        <v>2.4</v>
      </c>
      <c r="H225" s="28">
        <v>4.8</v>
      </c>
      <c r="I225" s="28">
        <v>5.44</v>
      </c>
      <c r="J225" s="28">
        <f t="shared" si="11"/>
        <v>20.439999999999998</v>
      </c>
      <c r="K225" s="28" t="s">
        <v>475</v>
      </c>
      <c r="L225" s="87">
        <f t="shared" si="17"/>
        <v>20.439999999999998</v>
      </c>
    </row>
    <row r="226" spans="1:12">
      <c r="A226" s="27">
        <v>46</v>
      </c>
      <c r="B226" s="57">
        <v>200943116</v>
      </c>
      <c r="C226" s="58" t="s">
        <v>220</v>
      </c>
      <c r="D226" s="28">
        <v>5.2</v>
      </c>
      <c r="E226" s="28">
        <v>5.85</v>
      </c>
      <c r="F226" s="28">
        <v>7.35</v>
      </c>
      <c r="G226" s="28">
        <v>8.1</v>
      </c>
      <c r="H226" s="28">
        <v>10.199999999999999</v>
      </c>
      <c r="I226" s="28">
        <v>10.55</v>
      </c>
      <c r="J226" s="28">
        <f t="shared" si="11"/>
        <v>47.250000000000007</v>
      </c>
      <c r="K226" s="28">
        <v>14.5</v>
      </c>
      <c r="L226" s="87">
        <f t="shared" si="12"/>
        <v>61.750000000000007</v>
      </c>
    </row>
    <row r="227" spans="1:12">
      <c r="A227" s="27">
        <v>47</v>
      </c>
      <c r="B227" s="91">
        <v>200943121</v>
      </c>
      <c r="C227" s="92" t="s">
        <v>221</v>
      </c>
      <c r="D227" s="28">
        <f>E227</f>
        <v>7.95</v>
      </c>
      <c r="E227" s="28">
        <v>7.95</v>
      </c>
      <c r="F227" s="28">
        <v>6</v>
      </c>
      <c r="G227" s="28">
        <v>4.6500000000000004</v>
      </c>
      <c r="H227" s="28">
        <v>7.5</v>
      </c>
      <c r="I227" s="28">
        <v>8.19</v>
      </c>
      <c r="J227" s="28">
        <f t="shared" ref="J227:J228" si="18">+I227+H227+G227+F227+E227+D227</f>
        <v>42.24</v>
      </c>
      <c r="K227" s="28">
        <v>8.5</v>
      </c>
      <c r="L227" s="87">
        <f t="shared" ref="L227:L228" si="19">+K227+J227</f>
        <v>50.74</v>
      </c>
    </row>
    <row r="228" spans="1:12">
      <c r="A228" s="27">
        <v>48</v>
      </c>
      <c r="B228" s="91">
        <v>200943122</v>
      </c>
      <c r="C228" s="92" t="s">
        <v>222</v>
      </c>
      <c r="D228" s="28">
        <f>E228</f>
        <v>7.5</v>
      </c>
      <c r="E228" s="28">
        <v>7.5</v>
      </c>
      <c r="F228" s="28">
        <v>7.2</v>
      </c>
      <c r="G228" s="28">
        <v>4.5</v>
      </c>
      <c r="H228" s="28">
        <v>7.5</v>
      </c>
      <c r="I228" s="28">
        <v>8.18</v>
      </c>
      <c r="J228" s="28">
        <f t="shared" si="18"/>
        <v>42.379999999999995</v>
      </c>
      <c r="K228" s="28">
        <v>10.5</v>
      </c>
      <c r="L228" s="87">
        <f t="shared" si="19"/>
        <v>52.879999999999995</v>
      </c>
    </row>
    <row r="229" spans="1:12">
      <c r="A229" s="27">
        <v>49</v>
      </c>
      <c r="B229" s="57">
        <v>200943128</v>
      </c>
      <c r="C229" s="58" t="s">
        <v>223</v>
      </c>
      <c r="D229" s="28">
        <v>2.6</v>
      </c>
      <c r="E229" s="28">
        <v>3.9</v>
      </c>
      <c r="F229" s="28">
        <v>2.1</v>
      </c>
      <c r="G229" s="28">
        <v>1.5</v>
      </c>
      <c r="H229" s="28">
        <v>4.3499999999999996</v>
      </c>
      <c r="I229" s="28">
        <v>3.9</v>
      </c>
      <c r="J229" s="28">
        <f>+I229+H229+G229+F229+E229+D229</f>
        <v>18.350000000000001</v>
      </c>
      <c r="K229" s="28" t="s">
        <v>475</v>
      </c>
      <c r="L229" s="87">
        <f>+J229</f>
        <v>18.350000000000001</v>
      </c>
    </row>
    <row r="230" spans="1:12">
      <c r="A230" s="27">
        <v>50</v>
      </c>
      <c r="B230" s="57">
        <v>200943314</v>
      </c>
      <c r="C230" s="58" t="s">
        <v>224</v>
      </c>
      <c r="D230" s="28">
        <v>5.6</v>
      </c>
      <c r="E230" s="28">
        <v>6.6</v>
      </c>
      <c r="F230" s="28">
        <v>6.3</v>
      </c>
      <c r="G230" s="28">
        <v>5.4</v>
      </c>
      <c r="H230" s="28">
        <v>5.25</v>
      </c>
      <c r="I230" s="28">
        <v>7.47</v>
      </c>
      <c r="J230" s="28">
        <f>+I230+H230+G230+F230+E230+D230</f>
        <v>36.619999999999997</v>
      </c>
      <c r="K230" s="28" t="s">
        <v>475</v>
      </c>
      <c r="L230" s="87">
        <f>+J230</f>
        <v>36.619999999999997</v>
      </c>
    </row>
    <row r="231" spans="1:12">
      <c r="A231" s="27">
        <v>51</v>
      </c>
      <c r="B231" s="57">
        <v>200943330</v>
      </c>
      <c r="C231" s="58" t="s">
        <v>225</v>
      </c>
      <c r="D231" s="28">
        <v>6.2</v>
      </c>
      <c r="E231" s="28">
        <v>7.8</v>
      </c>
      <c r="F231" s="28">
        <v>9</v>
      </c>
      <c r="G231" s="28">
        <v>7.2</v>
      </c>
      <c r="H231" s="28">
        <v>7.2</v>
      </c>
      <c r="I231" s="28">
        <v>9.15</v>
      </c>
      <c r="J231" s="28">
        <f>+I231+H231+G231+F231+E231+D231</f>
        <v>46.55</v>
      </c>
      <c r="K231" s="28" t="s">
        <v>476</v>
      </c>
      <c r="L231" s="87">
        <v>46.55</v>
      </c>
    </row>
    <row r="232" spans="1:12">
      <c r="A232" s="27">
        <v>52</v>
      </c>
      <c r="B232" s="57">
        <v>200943368</v>
      </c>
      <c r="C232" s="60" t="s">
        <v>226</v>
      </c>
      <c r="D232" s="28">
        <v>6.1</v>
      </c>
      <c r="E232" s="28">
        <v>6.45</v>
      </c>
      <c r="F232" s="28">
        <v>6.75</v>
      </c>
      <c r="G232" s="28">
        <v>6.45</v>
      </c>
      <c r="H232" s="28">
        <v>7.2</v>
      </c>
      <c r="I232" s="28">
        <v>8.0500000000000007</v>
      </c>
      <c r="J232" s="28">
        <f t="shared" ref="J232:J236" si="20">+I232+H232+G232+F232+E232+D232</f>
        <v>41</v>
      </c>
      <c r="K232" s="28">
        <v>6</v>
      </c>
      <c r="L232" s="87">
        <f t="shared" ref="L232:L234" si="21">+K232+J232</f>
        <v>47</v>
      </c>
    </row>
    <row r="233" spans="1:12">
      <c r="A233" s="27">
        <v>53</v>
      </c>
      <c r="B233" s="57">
        <v>200943645</v>
      </c>
      <c r="C233" s="60" t="s">
        <v>227</v>
      </c>
      <c r="D233" s="28">
        <v>6</v>
      </c>
      <c r="E233" s="28">
        <v>5.85</v>
      </c>
      <c r="F233" s="28">
        <v>6.6</v>
      </c>
      <c r="G233" s="28">
        <v>5.0999999999999996</v>
      </c>
      <c r="H233" s="28">
        <v>7.35</v>
      </c>
      <c r="I233" s="28">
        <v>7.4</v>
      </c>
      <c r="J233" s="28">
        <f t="shared" si="20"/>
        <v>38.300000000000004</v>
      </c>
      <c r="K233" s="28" t="s">
        <v>475</v>
      </c>
      <c r="L233" s="87">
        <f>+J233</f>
        <v>38.300000000000004</v>
      </c>
    </row>
    <row r="234" spans="1:12">
      <c r="A234" s="27">
        <v>54</v>
      </c>
      <c r="B234" s="57">
        <v>200943703</v>
      </c>
      <c r="C234" s="60" t="s">
        <v>228</v>
      </c>
      <c r="D234" s="28">
        <v>5.2</v>
      </c>
      <c r="E234" s="28">
        <v>8.1</v>
      </c>
      <c r="F234" s="28">
        <v>8.6999999999999993</v>
      </c>
      <c r="G234" s="28">
        <v>5.55</v>
      </c>
      <c r="H234" s="28">
        <v>6.6</v>
      </c>
      <c r="I234" s="28">
        <v>12.95</v>
      </c>
      <c r="J234" s="28">
        <f t="shared" si="20"/>
        <v>47.1</v>
      </c>
      <c r="K234" s="28">
        <v>14.5</v>
      </c>
      <c r="L234" s="87">
        <f t="shared" si="21"/>
        <v>61.6</v>
      </c>
    </row>
    <row r="235" spans="1:12">
      <c r="A235" s="27">
        <v>55</v>
      </c>
      <c r="B235" s="57">
        <v>200944051</v>
      </c>
      <c r="C235" s="60" t="s">
        <v>229</v>
      </c>
      <c r="D235" s="28">
        <v>4.8</v>
      </c>
      <c r="E235" s="28">
        <v>3.15</v>
      </c>
      <c r="F235" s="28">
        <v>4.5</v>
      </c>
      <c r="G235" s="28">
        <v>0</v>
      </c>
      <c r="H235" s="28">
        <v>0</v>
      </c>
      <c r="I235" s="28">
        <v>1.1599999999999999</v>
      </c>
      <c r="J235" s="28">
        <f t="shared" si="20"/>
        <v>13.61</v>
      </c>
      <c r="K235" s="28" t="s">
        <v>475</v>
      </c>
      <c r="L235" s="87">
        <f>+J235</f>
        <v>13.61</v>
      </c>
    </row>
    <row r="236" spans="1:12">
      <c r="A236" s="27">
        <v>56</v>
      </c>
      <c r="B236" s="57">
        <v>200944223</v>
      </c>
      <c r="C236" s="60" t="s">
        <v>230</v>
      </c>
      <c r="D236" s="28">
        <v>2.6</v>
      </c>
      <c r="E236" s="28">
        <v>6.45</v>
      </c>
      <c r="F236" s="28">
        <v>0</v>
      </c>
      <c r="G236" s="28">
        <v>0</v>
      </c>
      <c r="H236" s="28">
        <v>0</v>
      </c>
      <c r="I236" s="28">
        <v>0</v>
      </c>
      <c r="J236" s="28">
        <f t="shared" si="20"/>
        <v>9.0500000000000007</v>
      </c>
      <c r="K236" s="28" t="s">
        <v>475</v>
      </c>
      <c r="L236" s="87">
        <f t="shared" ref="L236:L238" si="22">+J236</f>
        <v>9.0500000000000007</v>
      </c>
    </row>
    <row r="237" spans="1:12">
      <c r="A237" s="27">
        <v>57</v>
      </c>
      <c r="B237" s="57">
        <v>200944768</v>
      </c>
      <c r="C237" s="60" t="s">
        <v>231</v>
      </c>
      <c r="D237" s="28">
        <v>6</v>
      </c>
      <c r="E237" s="28">
        <v>3.9</v>
      </c>
      <c r="F237" s="28">
        <v>7.05</v>
      </c>
      <c r="G237" s="28">
        <v>6.6</v>
      </c>
      <c r="H237" s="28">
        <v>6.75</v>
      </c>
      <c r="I237" s="28">
        <v>6.74</v>
      </c>
      <c r="J237" s="28">
        <f>+I237+H237+G237+F237+E237+D237</f>
        <v>37.04</v>
      </c>
      <c r="K237" s="28" t="s">
        <v>475</v>
      </c>
      <c r="L237" s="87">
        <f t="shared" si="22"/>
        <v>37.04</v>
      </c>
    </row>
    <row r="238" spans="1:12">
      <c r="A238" s="27">
        <v>58</v>
      </c>
      <c r="B238" s="57">
        <v>200944831</v>
      </c>
      <c r="C238" s="58" t="s">
        <v>232</v>
      </c>
      <c r="D238" s="28">
        <v>4.2</v>
      </c>
      <c r="E238" s="28">
        <v>6.3</v>
      </c>
      <c r="F238" s="28">
        <v>7.2</v>
      </c>
      <c r="G238" s="28">
        <v>6.45</v>
      </c>
      <c r="H238" s="28">
        <v>7.35</v>
      </c>
      <c r="I238" s="28">
        <v>8.6199999999999992</v>
      </c>
      <c r="J238" s="28">
        <f>+I238+H238+G238+F238+E238+D238</f>
        <v>40.119999999999997</v>
      </c>
      <c r="K238" s="28" t="s">
        <v>475</v>
      </c>
      <c r="L238" s="87">
        <f t="shared" si="22"/>
        <v>40.119999999999997</v>
      </c>
    </row>
    <row r="239" spans="1:12">
      <c r="A239" s="29"/>
      <c r="B239" s="29"/>
      <c r="C239" s="30"/>
      <c r="D239" s="36"/>
      <c r="E239" s="36"/>
      <c r="F239" s="36"/>
      <c r="G239" s="36"/>
      <c r="H239" s="36"/>
      <c r="I239" s="36"/>
      <c r="J239" s="36"/>
      <c r="K239" s="36"/>
      <c r="L239" s="89"/>
    </row>
    <row r="240" spans="1:12">
      <c r="A240" s="29"/>
      <c r="B240" s="29"/>
      <c r="C240" s="30"/>
      <c r="D240" s="36"/>
      <c r="E240" s="36"/>
      <c r="F240" s="36"/>
      <c r="G240" s="36"/>
      <c r="H240" s="36"/>
      <c r="I240" s="36"/>
      <c r="J240" s="36"/>
      <c r="K240" s="36"/>
      <c r="L240" s="89"/>
    </row>
    <row r="241" spans="1:12" ht="17.25" thickBot="1">
      <c r="A241" s="29"/>
      <c r="B241" s="29"/>
      <c r="C241" s="30"/>
      <c r="D241" s="36"/>
      <c r="E241" s="36"/>
      <c r="F241" s="36"/>
      <c r="G241" s="36"/>
      <c r="H241" s="90"/>
      <c r="I241" s="90"/>
      <c r="J241" s="90"/>
      <c r="K241" s="7"/>
      <c r="L241" s="89"/>
    </row>
    <row r="242" spans="1:12">
      <c r="H242" s="101" t="s">
        <v>456</v>
      </c>
      <c r="I242" s="101"/>
      <c r="J242" s="101"/>
      <c r="L242" s="84"/>
    </row>
    <row r="243" spans="1:12">
      <c r="D243" s="36"/>
      <c r="H243" s="101" t="s">
        <v>430</v>
      </c>
      <c r="I243" s="101"/>
      <c r="J243" s="101"/>
      <c r="L243" s="84"/>
    </row>
    <row r="244" spans="1:12">
      <c r="D244" s="36"/>
      <c r="H244" s="101" t="s">
        <v>454</v>
      </c>
      <c r="I244" s="101"/>
      <c r="J244" s="101"/>
      <c r="L244" s="84"/>
    </row>
    <row r="253" spans="1:12" ht="17.25" thickBot="1">
      <c r="A253" s="84" t="s">
        <v>0</v>
      </c>
    </row>
    <row r="254" spans="1:12">
      <c r="A254" s="84" t="s">
        <v>1</v>
      </c>
      <c r="F254" s="4"/>
      <c r="G254" s="5"/>
      <c r="H254" s="6"/>
      <c r="I254" s="7"/>
    </row>
    <row r="255" spans="1:12">
      <c r="A255" s="13" t="s">
        <v>2</v>
      </c>
      <c r="B255" s="7"/>
      <c r="E255" s="7"/>
      <c r="F255" s="10"/>
      <c r="G255" s="11"/>
      <c r="H255" s="12"/>
      <c r="I255" s="7"/>
    </row>
    <row r="256" spans="1:12" ht="17.25" thickBot="1">
      <c r="A256" s="13" t="s">
        <v>3</v>
      </c>
      <c r="B256" s="7"/>
      <c r="E256" s="7"/>
      <c r="F256" s="10"/>
      <c r="G256" s="11"/>
      <c r="H256" s="12"/>
      <c r="I256" s="7"/>
    </row>
    <row r="257" spans="1:12" ht="17.25" thickBot="1">
      <c r="A257" s="96" t="s">
        <v>22</v>
      </c>
      <c r="B257" s="97"/>
      <c r="C257" s="98"/>
      <c r="E257" s="7"/>
      <c r="F257" s="17"/>
      <c r="G257" s="18"/>
      <c r="H257" s="19"/>
      <c r="I257" s="7"/>
    </row>
    <row r="258" spans="1:12">
      <c r="A258" s="13"/>
      <c r="B258" s="7"/>
      <c r="E258" s="7"/>
    </row>
    <row r="259" spans="1:12">
      <c r="A259" s="84" t="s">
        <v>91</v>
      </c>
      <c r="B259" s="7"/>
      <c r="C259" s="85" t="s">
        <v>233</v>
      </c>
      <c r="E259" s="7"/>
    </row>
    <row r="260" spans="1:12">
      <c r="A260" s="84" t="s">
        <v>4</v>
      </c>
      <c r="C260" s="85" t="s">
        <v>457</v>
      </c>
    </row>
    <row r="261" spans="1:12">
      <c r="A261" s="84" t="s">
        <v>5</v>
      </c>
      <c r="C261" s="85" t="s">
        <v>458</v>
      </c>
    </row>
    <row r="262" spans="1:12">
      <c r="A262" s="86"/>
      <c r="B262" s="86"/>
      <c r="C262" s="86"/>
      <c r="D262" s="86"/>
      <c r="E262" s="86"/>
      <c r="F262" s="86"/>
      <c r="G262" s="86"/>
      <c r="H262" s="86"/>
      <c r="I262" s="86"/>
      <c r="J262" s="86"/>
    </row>
    <row r="263" spans="1:12">
      <c r="A263" s="84"/>
      <c r="C263" s="22" t="s">
        <v>6</v>
      </c>
      <c r="D263" s="22" t="s">
        <v>435</v>
      </c>
      <c r="E263" s="22" t="s">
        <v>435</v>
      </c>
      <c r="F263" s="22" t="s">
        <v>435</v>
      </c>
      <c r="G263" s="22" t="s">
        <v>435</v>
      </c>
      <c r="H263" s="22" t="s">
        <v>435</v>
      </c>
      <c r="I263" s="22" t="s">
        <v>7</v>
      </c>
      <c r="J263" s="22" t="s">
        <v>8</v>
      </c>
      <c r="K263" s="22" t="s">
        <v>7</v>
      </c>
      <c r="L263" s="22" t="s">
        <v>9</v>
      </c>
    </row>
    <row r="264" spans="1:12">
      <c r="A264" s="22" t="s">
        <v>10</v>
      </c>
      <c r="B264" s="22" t="s">
        <v>11</v>
      </c>
      <c r="C264" s="22" t="s">
        <v>12</v>
      </c>
      <c r="D264" s="22" t="s">
        <v>13</v>
      </c>
      <c r="E264" s="22" t="s">
        <v>14</v>
      </c>
      <c r="F264" s="22" t="s">
        <v>15</v>
      </c>
      <c r="G264" s="22" t="s">
        <v>16</v>
      </c>
      <c r="H264" s="22" t="s">
        <v>17</v>
      </c>
      <c r="I264" s="22" t="s">
        <v>95</v>
      </c>
      <c r="J264" s="22" t="s">
        <v>18</v>
      </c>
      <c r="K264" s="22" t="s">
        <v>19</v>
      </c>
      <c r="L264" s="22" t="s">
        <v>20</v>
      </c>
    </row>
    <row r="265" spans="1:12">
      <c r="A265" s="27">
        <v>1</v>
      </c>
      <c r="B265" s="40">
        <v>200741726</v>
      </c>
      <c r="C265" s="54" t="s">
        <v>235</v>
      </c>
      <c r="D265" s="28">
        <v>7.6</v>
      </c>
      <c r="E265" s="28">
        <v>6.5</v>
      </c>
      <c r="F265" s="28">
        <v>6.3</v>
      </c>
      <c r="G265" s="28">
        <v>5.25</v>
      </c>
      <c r="H265" s="28">
        <v>0</v>
      </c>
      <c r="I265" s="28">
        <v>7.21</v>
      </c>
      <c r="J265" s="28">
        <f t="shared" ref="J265:J296" si="23">+I265+H265+G265+F265+E265+D265</f>
        <v>32.86</v>
      </c>
      <c r="K265" s="28" t="s">
        <v>475</v>
      </c>
      <c r="L265" s="87">
        <v>32.86</v>
      </c>
    </row>
    <row r="266" spans="1:12">
      <c r="A266" s="88">
        <v>2</v>
      </c>
      <c r="B266" s="40">
        <v>200741810</v>
      </c>
      <c r="C266" s="52" t="s">
        <v>236</v>
      </c>
      <c r="D266" s="28">
        <v>5.8</v>
      </c>
      <c r="E266" s="28">
        <v>3.7</v>
      </c>
      <c r="F266" s="28">
        <v>4.8</v>
      </c>
      <c r="G266" s="28">
        <v>3</v>
      </c>
      <c r="H266" s="28">
        <v>0</v>
      </c>
      <c r="I266" s="28">
        <v>2.5</v>
      </c>
      <c r="J266" s="28">
        <f t="shared" si="23"/>
        <v>19.8</v>
      </c>
      <c r="K266" s="28" t="s">
        <v>475</v>
      </c>
      <c r="L266" s="87">
        <v>19.8</v>
      </c>
    </row>
    <row r="267" spans="1:12">
      <c r="A267" s="27">
        <v>3</v>
      </c>
      <c r="B267" s="40">
        <v>200741839</v>
      </c>
      <c r="C267" s="54" t="s">
        <v>237</v>
      </c>
      <c r="D267" s="28">
        <v>9.1</v>
      </c>
      <c r="E267" s="28">
        <v>7.8</v>
      </c>
      <c r="F267" s="28">
        <v>7.8</v>
      </c>
      <c r="G267" s="28">
        <v>6.9</v>
      </c>
      <c r="H267" s="28">
        <v>7.85</v>
      </c>
      <c r="I267" s="28">
        <v>12.93</v>
      </c>
      <c r="J267" s="28">
        <f t="shared" si="23"/>
        <v>52.379999999999995</v>
      </c>
      <c r="K267" s="28">
        <v>14</v>
      </c>
      <c r="L267" s="87">
        <f>+K267+J267</f>
        <v>66.38</v>
      </c>
    </row>
    <row r="268" spans="1:12">
      <c r="A268" s="88">
        <v>4</v>
      </c>
      <c r="B268" s="40">
        <v>200741850</v>
      </c>
      <c r="C268" s="54" t="s">
        <v>239</v>
      </c>
      <c r="D268" s="28">
        <v>6</v>
      </c>
      <c r="E268" s="28">
        <v>5.6</v>
      </c>
      <c r="F268" s="28">
        <v>6.3</v>
      </c>
      <c r="G268" s="28">
        <v>6</v>
      </c>
      <c r="H268" s="28">
        <v>0</v>
      </c>
      <c r="I268" s="28">
        <v>14.35</v>
      </c>
      <c r="J268" s="28">
        <f t="shared" si="23"/>
        <v>38.25</v>
      </c>
      <c r="K268" s="28" t="s">
        <v>475</v>
      </c>
      <c r="L268" s="87">
        <v>38.25</v>
      </c>
    </row>
    <row r="269" spans="1:12">
      <c r="A269" s="88">
        <v>5</v>
      </c>
      <c r="B269" s="40">
        <v>200840223</v>
      </c>
      <c r="C269" s="54" t="s">
        <v>245</v>
      </c>
      <c r="D269" s="28">
        <v>3.78</v>
      </c>
      <c r="E269" s="28">
        <v>4.3499999999999996</v>
      </c>
      <c r="F269" s="28">
        <v>0</v>
      </c>
      <c r="G269" s="28">
        <v>0</v>
      </c>
      <c r="H269" s="28">
        <v>0</v>
      </c>
      <c r="I269" s="28">
        <v>0.8</v>
      </c>
      <c r="J269" s="28">
        <f t="shared" si="23"/>
        <v>8.93</v>
      </c>
      <c r="K269" s="28" t="s">
        <v>475</v>
      </c>
      <c r="L269" s="87">
        <v>8.93</v>
      </c>
    </row>
    <row r="270" spans="1:12">
      <c r="A270" s="88">
        <v>6</v>
      </c>
      <c r="B270" s="40">
        <v>200840267</v>
      </c>
      <c r="C270" s="54" t="s">
        <v>246</v>
      </c>
      <c r="D270" s="28">
        <v>10.5</v>
      </c>
      <c r="E270" s="28">
        <v>6.9</v>
      </c>
      <c r="F270" s="28">
        <v>8.1</v>
      </c>
      <c r="G270" s="28">
        <v>6.6</v>
      </c>
      <c r="H270" s="28">
        <v>7</v>
      </c>
      <c r="I270" s="28">
        <v>11.87</v>
      </c>
      <c r="J270" s="28">
        <f t="shared" si="23"/>
        <v>50.97</v>
      </c>
      <c r="K270" s="28">
        <v>10.25</v>
      </c>
      <c r="L270" s="87">
        <f>+K270+J270</f>
        <v>61.22</v>
      </c>
    </row>
    <row r="271" spans="1:12">
      <c r="A271" s="88">
        <v>7</v>
      </c>
      <c r="B271" s="40">
        <v>200840270</v>
      </c>
      <c r="C271" s="54" t="s">
        <v>247</v>
      </c>
      <c r="D271" s="28">
        <v>6.52</v>
      </c>
      <c r="E271" s="28">
        <v>4.95</v>
      </c>
      <c r="F271" s="28">
        <v>6.6</v>
      </c>
      <c r="G271" s="28">
        <v>2.85</v>
      </c>
      <c r="H271" s="28">
        <v>6.2</v>
      </c>
      <c r="I271" s="28">
        <v>12.82</v>
      </c>
      <c r="J271" s="28">
        <f t="shared" si="23"/>
        <v>39.94</v>
      </c>
      <c r="K271" s="28" t="s">
        <v>475</v>
      </c>
      <c r="L271" s="87">
        <v>39.94</v>
      </c>
    </row>
    <row r="272" spans="1:12">
      <c r="A272" s="88">
        <v>8</v>
      </c>
      <c r="B272" s="40">
        <v>200842086</v>
      </c>
      <c r="C272" s="54" t="s">
        <v>249</v>
      </c>
      <c r="D272" s="28">
        <v>9.1</v>
      </c>
      <c r="E272" s="28">
        <v>8.6999999999999993</v>
      </c>
      <c r="F272" s="28">
        <v>8.6999999999999993</v>
      </c>
      <c r="G272" s="28">
        <v>9.15</v>
      </c>
      <c r="H272" s="28">
        <v>10.199999999999999</v>
      </c>
      <c r="I272" s="28">
        <v>17.05</v>
      </c>
      <c r="J272" s="28">
        <f t="shared" si="23"/>
        <v>62.9</v>
      </c>
      <c r="K272" s="28">
        <v>12.5</v>
      </c>
      <c r="L272" s="87">
        <f>+K272+J272</f>
        <v>75.400000000000006</v>
      </c>
    </row>
    <row r="273" spans="1:12">
      <c r="A273" s="88">
        <v>9</v>
      </c>
      <c r="B273" s="40">
        <v>200842109</v>
      </c>
      <c r="C273" s="52" t="s">
        <v>251</v>
      </c>
      <c r="D273" s="28">
        <v>7.6</v>
      </c>
      <c r="E273" s="28">
        <v>5.55</v>
      </c>
      <c r="F273" s="28">
        <v>6.9</v>
      </c>
      <c r="G273" s="28">
        <v>4.5</v>
      </c>
      <c r="H273" s="28">
        <v>5.9</v>
      </c>
      <c r="I273" s="28">
        <v>8.5500000000000007</v>
      </c>
      <c r="J273" s="28">
        <f t="shared" si="23"/>
        <v>39</v>
      </c>
      <c r="K273" s="28" t="s">
        <v>475</v>
      </c>
      <c r="L273" s="87">
        <v>39</v>
      </c>
    </row>
    <row r="274" spans="1:12">
      <c r="A274" s="88">
        <v>10</v>
      </c>
      <c r="B274" s="40">
        <v>200842115</v>
      </c>
      <c r="C274" s="54" t="s">
        <v>253</v>
      </c>
      <c r="D274" s="28">
        <v>7.8</v>
      </c>
      <c r="E274" s="28">
        <v>6.4</v>
      </c>
      <c r="F274" s="28">
        <v>7.5</v>
      </c>
      <c r="G274" s="28">
        <v>5.0999999999999996</v>
      </c>
      <c r="H274" s="28">
        <v>6.7</v>
      </c>
      <c r="I274" s="28">
        <v>16.100000000000001</v>
      </c>
      <c r="J274" s="28">
        <f t="shared" si="23"/>
        <v>49.599999999999994</v>
      </c>
      <c r="K274" s="28">
        <v>10.5</v>
      </c>
      <c r="L274" s="87">
        <f>+K274+J274</f>
        <v>60.099999999999994</v>
      </c>
    </row>
    <row r="275" spans="1:12">
      <c r="A275" s="88">
        <v>11</v>
      </c>
      <c r="B275" s="40">
        <v>200842125</v>
      </c>
      <c r="C275" s="54" t="s">
        <v>254</v>
      </c>
      <c r="D275" s="28">
        <v>7.66</v>
      </c>
      <c r="E275" s="28">
        <v>7.05</v>
      </c>
      <c r="F275" s="28">
        <v>0</v>
      </c>
      <c r="G275" s="28">
        <v>0</v>
      </c>
      <c r="H275" s="28">
        <v>0</v>
      </c>
      <c r="I275" s="28">
        <v>3.3</v>
      </c>
      <c r="J275" s="28">
        <f t="shared" si="23"/>
        <v>18.009999999999998</v>
      </c>
      <c r="K275" s="28" t="s">
        <v>475</v>
      </c>
      <c r="L275" s="87">
        <v>18.010000000000002</v>
      </c>
    </row>
    <row r="276" spans="1:12">
      <c r="A276" s="88">
        <v>12</v>
      </c>
      <c r="B276" s="40">
        <v>200842134</v>
      </c>
      <c r="C276" s="54" t="s">
        <v>255</v>
      </c>
      <c r="D276" s="28">
        <v>3.9</v>
      </c>
      <c r="E276" s="28">
        <v>3.85</v>
      </c>
      <c r="F276" s="28">
        <v>1.5</v>
      </c>
      <c r="G276" s="28">
        <v>2.1</v>
      </c>
      <c r="H276" s="28">
        <v>2.1</v>
      </c>
      <c r="I276" s="28">
        <v>10.63</v>
      </c>
      <c r="J276" s="28">
        <f t="shared" si="23"/>
        <v>24.08</v>
      </c>
      <c r="K276" s="28" t="s">
        <v>475</v>
      </c>
      <c r="L276" s="87">
        <v>24.08</v>
      </c>
    </row>
    <row r="277" spans="1:12">
      <c r="A277" s="88">
        <v>13</v>
      </c>
      <c r="B277" s="40">
        <v>200842427</v>
      </c>
      <c r="C277" s="54" t="s">
        <v>256</v>
      </c>
      <c r="D277" s="28">
        <v>8.1999999999999993</v>
      </c>
      <c r="E277" s="28">
        <v>5.0999999999999996</v>
      </c>
      <c r="F277" s="28">
        <v>6.6</v>
      </c>
      <c r="G277" s="28">
        <v>4.5</v>
      </c>
      <c r="H277" s="28">
        <v>0</v>
      </c>
      <c r="I277" s="28">
        <v>11.55</v>
      </c>
      <c r="J277" s="28">
        <f t="shared" si="23"/>
        <v>35.950000000000003</v>
      </c>
      <c r="K277" s="28" t="s">
        <v>475</v>
      </c>
      <c r="L277" s="87">
        <v>35.950000000000003</v>
      </c>
    </row>
    <row r="278" spans="1:12">
      <c r="A278" s="88">
        <v>14</v>
      </c>
      <c r="B278" s="43">
        <v>200842447</v>
      </c>
      <c r="C278" s="94" t="s">
        <v>258</v>
      </c>
      <c r="D278" s="28">
        <v>10.5</v>
      </c>
      <c r="E278" s="28">
        <v>9.15</v>
      </c>
      <c r="F278" s="28">
        <v>9.6</v>
      </c>
      <c r="G278" s="28">
        <v>7.8</v>
      </c>
      <c r="H278" s="28">
        <v>6.6</v>
      </c>
      <c r="I278" s="28">
        <v>14.25</v>
      </c>
      <c r="J278" s="28">
        <f t="shared" si="23"/>
        <v>57.9</v>
      </c>
      <c r="K278" s="28" t="s">
        <v>476</v>
      </c>
      <c r="L278" s="87">
        <v>57.9</v>
      </c>
    </row>
    <row r="279" spans="1:12">
      <c r="A279" s="27">
        <v>15</v>
      </c>
      <c r="B279" s="57">
        <v>200842674</v>
      </c>
      <c r="C279" s="60" t="s">
        <v>259</v>
      </c>
      <c r="D279" s="28">
        <v>9.1</v>
      </c>
      <c r="E279" s="28">
        <v>8.4</v>
      </c>
      <c r="F279" s="28">
        <v>10.199999999999999</v>
      </c>
      <c r="G279" s="28">
        <v>6.45</v>
      </c>
      <c r="H279" s="28">
        <v>6.55</v>
      </c>
      <c r="I279" s="28">
        <v>11.31</v>
      </c>
      <c r="J279" s="28">
        <f t="shared" si="23"/>
        <v>52.01</v>
      </c>
      <c r="K279" s="28">
        <v>10</v>
      </c>
      <c r="L279" s="87">
        <f t="shared" ref="L279:L292" si="24">+K279+J279</f>
        <v>62.01</v>
      </c>
    </row>
    <row r="280" spans="1:12">
      <c r="A280" s="27">
        <v>16</v>
      </c>
      <c r="B280" s="57">
        <v>200843791</v>
      </c>
      <c r="C280" s="58" t="s">
        <v>260</v>
      </c>
      <c r="D280" s="28">
        <v>9.1999999999999993</v>
      </c>
      <c r="E280" s="28">
        <v>5.4</v>
      </c>
      <c r="F280" s="28">
        <v>6</v>
      </c>
      <c r="G280" s="28">
        <v>5.7</v>
      </c>
      <c r="H280" s="28">
        <v>6.4</v>
      </c>
      <c r="I280" s="28">
        <v>13.4</v>
      </c>
      <c r="J280" s="28">
        <f t="shared" si="23"/>
        <v>46.099999999999994</v>
      </c>
      <c r="K280" s="28">
        <v>10.5</v>
      </c>
      <c r="L280" s="87">
        <f t="shared" si="24"/>
        <v>56.599999999999994</v>
      </c>
    </row>
    <row r="281" spans="1:12">
      <c r="A281" s="27">
        <v>17</v>
      </c>
      <c r="B281" s="57">
        <v>200940333</v>
      </c>
      <c r="C281" s="58" t="s">
        <v>262</v>
      </c>
      <c r="D281" s="28">
        <v>10.199999999999999</v>
      </c>
      <c r="E281" s="28">
        <v>8.5500000000000007</v>
      </c>
      <c r="F281" s="28">
        <v>11.1</v>
      </c>
      <c r="G281" s="28">
        <v>8.6999999999999993</v>
      </c>
      <c r="H281" s="28">
        <v>10.8</v>
      </c>
      <c r="I281" s="28">
        <v>17.3</v>
      </c>
      <c r="J281" s="28">
        <f t="shared" si="23"/>
        <v>66.650000000000006</v>
      </c>
      <c r="K281" s="28">
        <v>14.5</v>
      </c>
      <c r="L281" s="87">
        <f t="shared" si="24"/>
        <v>81.150000000000006</v>
      </c>
    </row>
    <row r="282" spans="1:12">
      <c r="A282" s="27">
        <v>18</v>
      </c>
      <c r="B282" s="57">
        <v>200940343</v>
      </c>
      <c r="C282" s="58" t="s">
        <v>263</v>
      </c>
      <c r="D282" s="28">
        <v>10.119999999999999</v>
      </c>
      <c r="E282" s="28">
        <v>9.65</v>
      </c>
      <c r="F282" s="28">
        <v>9.6</v>
      </c>
      <c r="G282" s="28">
        <v>7.95</v>
      </c>
      <c r="H282" s="28">
        <v>8.9499999999999993</v>
      </c>
      <c r="I282" s="28">
        <v>16.809999999999999</v>
      </c>
      <c r="J282" s="28">
        <f t="shared" si="23"/>
        <v>63.08</v>
      </c>
      <c r="K282" s="28">
        <v>14</v>
      </c>
      <c r="L282" s="87">
        <f t="shared" si="24"/>
        <v>77.08</v>
      </c>
    </row>
    <row r="283" spans="1:12">
      <c r="A283" s="27">
        <v>19</v>
      </c>
      <c r="B283" s="57">
        <v>200940354</v>
      </c>
      <c r="C283" s="58" t="s">
        <v>264</v>
      </c>
      <c r="D283" s="28">
        <v>7.38</v>
      </c>
      <c r="E283" s="28">
        <v>7.05</v>
      </c>
      <c r="F283" s="28">
        <v>8.1</v>
      </c>
      <c r="G283" s="28">
        <v>5.4</v>
      </c>
      <c r="H283" s="28">
        <v>6.9</v>
      </c>
      <c r="I283" s="28">
        <v>15.68</v>
      </c>
      <c r="J283" s="28">
        <f t="shared" si="23"/>
        <v>50.51</v>
      </c>
      <c r="K283" s="28">
        <v>11.5</v>
      </c>
      <c r="L283" s="87">
        <f t="shared" si="24"/>
        <v>62.01</v>
      </c>
    </row>
    <row r="284" spans="1:12">
      <c r="A284" s="27">
        <v>20</v>
      </c>
      <c r="B284" s="57">
        <v>200940364</v>
      </c>
      <c r="C284" s="60" t="s">
        <v>265</v>
      </c>
      <c r="D284" s="28">
        <v>7.82</v>
      </c>
      <c r="E284" s="28">
        <v>5.4</v>
      </c>
      <c r="F284" s="28">
        <v>5.0999999999999996</v>
      </c>
      <c r="G284" s="28">
        <v>5.25</v>
      </c>
      <c r="H284" s="28">
        <v>7.8</v>
      </c>
      <c r="I284" s="28">
        <v>14.39</v>
      </c>
      <c r="J284" s="28">
        <f t="shared" si="23"/>
        <v>45.76</v>
      </c>
      <c r="K284" s="28">
        <v>15.5</v>
      </c>
      <c r="L284" s="87">
        <f t="shared" si="24"/>
        <v>61.26</v>
      </c>
    </row>
    <row r="285" spans="1:12">
      <c r="A285" s="27">
        <v>21</v>
      </c>
      <c r="B285" s="57">
        <v>200940366</v>
      </c>
      <c r="C285" s="58" t="s">
        <v>266</v>
      </c>
      <c r="D285" s="28">
        <v>9.9600000000000009</v>
      </c>
      <c r="E285" s="28">
        <v>8.85</v>
      </c>
      <c r="F285" s="28">
        <v>10.5</v>
      </c>
      <c r="G285" s="28">
        <v>5.7</v>
      </c>
      <c r="H285" s="28">
        <v>9</v>
      </c>
      <c r="I285" s="28">
        <v>15.16</v>
      </c>
      <c r="J285" s="28">
        <f t="shared" si="23"/>
        <v>59.17</v>
      </c>
      <c r="K285" s="28">
        <v>12</v>
      </c>
      <c r="L285" s="87">
        <f t="shared" si="24"/>
        <v>71.17</v>
      </c>
    </row>
    <row r="286" spans="1:12">
      <c r="A286" s="27">
        <v>22</v>
      </c>
      <c r="B286" s="57">
        <v>200940367</v>
      </c>
      <c r="C286" s="58" t="s">
        <v>267</v>
      </c>
      <c r="D286" s="28">
        <v>7.16</v>
      </c>
      <c r="E286" s="28">
        <v>7.35</v>
      </c>
      <c r="F286" s="28">
        <v>6.9</v>
      </c>
      <c r="G286" s="28">
        <v>5.4</v>
      </c>
      <c r="H286" s="28">
        <v>8.5500000000000007</v>
      </c>
      <c r="I286" s="28">
        <v>16.600000000000001</v>
      </c>
      <c r="J286" s="28">
        <f t="shared" si="23"/>
        <v>51.960000000000008</v>
      </c>
      <c r="K286" s="28">
        <v>12.5</v>
      </c>
      <c r="L286" s="87">
        <f t="shared" si="24"/>
        <v>64.460000000000008</v>
      </c>
    </row>
    <row r="287" spans="1:12">
      <c r="A287" s="27">
        <v>23</v>
      </c>
      <c r="B287" s="71">
        <v>200940368</v>
      </c>
      <c r="C287" s="99" t="s">
        <v>268</v>
      </c>
      <c r="D287" s="28">
        <v>9.9</v>
      </c>
      <c r="E287" s="28">
        <v>9.15</v>
      </c>
      <c r="F287" s="28">
        <v>9.3000000000000007</v>
      </c>
      <c r="G287" s="28">
        <v>7.2</v>
      </c>
      <c r="H287" s="28">
        <v>9.1999999999999993</v>
      </c>
      <c r="I287" s="28">
        <v>18</v>
      </c>
      <c r="J287" s="28">
        <f t="shared" si="23"/>
        <v>62.75</v>
      </c>
      <c r="K287" s="28">
        <v>12.5</v>
      </c>
      <c r="L287" s="87">
        <f t="shared" si="24"/>
        <v>75.25</v>
      </c>
    </row>
    <row r="288" spans="1:12">
      <c r="A288" s="27">
        <v>24</v>
      </c>
      <c r="B288" s="40">
        <v>200940370</v>
      </c>
      <c r="C288" s="54" t="s">
        <v>269</v>
      </c>
      <c r="D288" s="28">
        <v>5.52</v>
      </c>
      <c r="E288" s="28">
        <v>6.45</v>
      </c>
      <c r="F288" s="28">
        <v>4.8</v>
      </c>
      <c r="G288" s="28">
        <v>4.8</v>
      </c>
      <c r="H288" s="28">
        <v>6.3</v>
      </c>
      <c r="I288" s="28">
        <v>15.85</v>
      </c>
      <c r="J288" s="28">
        <f t="shared" si="23"/>
        <v>43.72</v>
      </c>
      <c r="K288" s="28">
        <v>13</v>
      </c>
      <c r="L288" s="87">
        <f t="shared" si="24"/>
        <v>56.72</v>
      </c>
    </row>
    <row r="289" spans="1:12">
      <c r="A289" s="27">
        <v>25</v>
      </c>
      <c r="B289" s="40">
        <v>200940431</v>
      </c>
      <c r="C289" s="52" t="s">
        <v>270</v>
      </c>
      <c r="D289" s="28">
        <v>9.36</v>
      </c>
      <c r="E289" s="28">
        <v>6.6</v>
      </c>
      <c r="F289" s="28">
        <v>6.3</v>
      </c>
      <c r="G289" s="28">
        <v>6.15</v>
      </c>
      <c r="H289" s="28">
        <v>8.4</v>
      </c>
      <c r="I289" s="28">
        <v>15.71</v>
      </c>
      <c r="J289" s="28">
        <f t="shared" si="23"/>
        <v>52.519999999999996</v>
      </c>
      <c r="K289" s="28">
        <v>12</v>
      </c>
      <c r="L289" s="87">
        <f t="shared" si="24"/>
        <v>64.52</v>
      </c>
    </row>
    <row r="290" spans="1:12">
      <c r="A290" s="27">
        <v>26</v>
      </c>
      <c r="B290" s="40">
        <v>200940435</v>
      </c>
      <c r="C290" s="52" t="s">
        <v>271</v>
      </c>
      <c r="D290" s="28">
        <v>6.62</v>
      </c>
      <c r="E290" s="28">
        <v>7.5</v>
      </c>
      <c r="F290" s="28">
        <v>8.1</v>
      </c>
      <c r="G290" s="28">
        <v>5.4</v>
      </c>
      <c r="H290" s="28">
        <v>6.1</v>
      </c>
      <c r="I290" s="28">
        <v>15.35</v>
      </c>
      <c r="J290" s="28">
        <f t="shared" si="23"/>
        <v>49.07</v>
      </c>
      <c r="K290" s="28">
        <v>11.5</v>
      </c>
      <c r="L290" s="87">
        <f t="shared" si="24"/>
        <v>60.57</v>
      </c>
    </row>
    <row r="291" spans="1:12">
      <c r="A291" s="27">
        <v>27</v>
      </c>
      <c r="B291" s="40">
        <v>200940488</v>
      </c>
      <c r="C291" s="52" t="s">
        <v>272</v>
      </c>
      <c r="D291" s="28">
        <v>9.18</v>
      </c>
      <c r="E291" s="28">
        <v>7.35</v>
      </c>
      <c r="F291" s="28">
        <v>9.6</v>
      </c>
      <c r="G291" s="28">
        <v>3.9</v>
      </c>
      <c r="H291" s="28">
        <v>6.45</v>
      </c>
      <c r="I291" s="28">
        <v>14.88</v>
      </c>
      <c r="J291" s="28">
        <f t="shared" si="23"/>
        <v>51.36</v>
      </c>
      <c r="K291" s="28">
        <v>12</v>
      </c>
      <c r="L291" s="87">
        <f t="shared" si="24"/>
        <v>63.36</v>
      </c>
    </row>
    <row r="292" spans="1:12">
      <c r="A292" s="27">
        <v>28</v>
      </c>
      <c r="B292" s="40">
        <v>200940494</v>
      </c>
      <c r="C292" s="52" t="s">
        <v>273</v>
      </c>
      <c r="D292" s="28">
        <v>9.5</v>
      </c>
      <c r="E292" s="28">
        <v>9</v>
      </c>
      <c r="F292" s="28">
        <v>10.199999999999999</v>
      </c>
      <c r="G292" s="28">
        <v>7.05</v>
      </c>
      <c r="H292" s="28">
        <v>7.5</v>
      </c>
      <c r="I292" s="28">
        <v>16.98</v>
      </c>
      <c r="J292" s="28">
        <f t="shared" si="23"/>
        <v>60.230000000000004</v>
      </c>
      <c r="K292" s="28">
        <v>12.5</v>
      </c>
      <c r="L292" s="87">
        <f t="shared" si="24"/>
        <v>72.73</v>
      </c>
    </row>
    <row r="293" spans="1:12">
      <c r="A293" s="27">
        <v>29</v>
      </c>
      <c r="B293" s="40">
        <v>200940495</v>
      </c>
      <c r="C293" s="54" t="s">
        <v>274</v>
      </c>
      <c r="D293" s="28">
        <v>7.98</v>
      </c>
      <c r="E293" s="28">
        <v>5.0999999999999996</v>
      </c>
      <c r="F293" s="28">
        <v>6</v>
      </c>
      <c r="G293" s="28">
        <v>6.6</v>
      </c>
      <c r="H293" s="28">
        <v>0</v>
      </c>
      <c r="I293" s="28">
        <v>7.08</v>
      </c>
      <c r="J293" s="28">
        <f t="shared" si="23"/>
        <v>32.760000000000005</v>
      </c>
      <c r="K293" s="28" t="s">
        <v>475</v>
      </c>
      <c r="L293" s="87">
        <v>32.76</v>
      </c>
    </row>
    <row r="294" spans="1:12">
      <c r="A294" s="27">
        <v>30</v>
      </c>
      <c r="B294" s="40">
        <v>200940497</v>
      </c>
      <c r="C294" s="54" t="s">
        <v>275</v>
      </c>
      <c r="D294" s="28">
        <v>7.98</v>
      </c>
      <c r="E294" s="28">
        <v>6.75</v>
      </c>
      <c r="F294" s="28">
        <v>7.5</v>
      </c>
      <c r="G294" s="28">
        <v>3.3</v>
      </c>
      <c r="H294" s="28">
        <v>7.2</v>
      </c>
      <c r="I294" s="28">
        <v>12.26</v>
      </c>
      <c r="J294" s="28">
        <f t="shared" si="23"/>
        <v>44.990000000000009</v>
      </c>
      <c r="K294" s="28">
        <v>10.5</v>
      </c>
      <c r="L294" s="87">
        <f>+K294+J294</f>
        <v>55.490000000000009</v>
      </c>
    </row>
    <row r="295" spans="1:12">
      <c r="A295" s="27">
        <v>31</v>
      </c>
      <c r="B295" s="40">
        <v>200940508</v>
      </c>
      <c r="C295" s="52" t="s">
        <v>277</v>
      </c>
      <c r="D295" s="28">
        <v>9.56</v>
      </c>
      <c r="E295" s="28">
        <v>7.95</v>
      </c>
      <c r="F295" s="28">
        <v>8.1</v>
      </c>
      <c r="G295" s="28">
        <v>7.7</v>
      </c>
      <c r="H295" s="28">
        <v>7.5</v>
      </c>
      <c r="I295" s="28">
        <v>14.3</v>
      </c>
      <c r="J295" s="28">
        <f t="shared" si="23"/>
        <v>55.110000000000007</v>
      </c>
      <c r="K295" s="28">
        <v>11</v>
      </c>
      <c r="L295" s="87">
        <f>+K295+J295</f>
        <v>66.110000000000014</v>
      </c>
    </row>
    <row r="296" spans="1:12">
      <c r="A296" s="27">
        <v>32</v>
      </c>
      <c r="B296" s="40">
        <v>200940529</v>
      </c>
      <c r="C296" s="54" t="s">
        <v>278</v>
      </c>
      <c r="D296" s="28">
        <v>9.4</v>
      </c>
      <c r="E296" s="28">
        <v>9.3000000000000007</v>
      </c>
      <c r="F296" s="28">
        <v>10.5</v>
      </c>
      <c r="G296" s="28">
        <v>9.3000000000000007</v>
      </c>
      <c r="H296" s="28">
        <v>9.8000000000000007</v>
      </c>
      <c r="I296" s="28">
        <v>17.350000000000001</v>
      </c>
      <c r="J296" s="28">
        <f t="shared" si="23"/>
        <v>65.650000000000006</v>
      </c>
      <c r="K296" s="28">
        <v>13.5</v>
      </c>
      <c r="L296" s="87">
        <f>+K296+J296</f>
        <v>79.150000000000006</v>
      </c>
    </row>
    <row r="297" spans="1:12">
      <c r="A297" s="27">
        <v>33</v>
      </c>
      <c r="B297" s="40">
        <v>200940533</v>
      </c>
      <c r="C297" s="54" t="s">
        <v>279</v>
      </c>
      <c r="D297" s="28">
        <v>5</v>
      </c>
      <c r="E297" s="28">
        <v>3.45</v>
      </c>
      <c r="F297" s="28">
        <v>0</v>
      </c>
      <c r="G297" s="28">
        <v>0</v>
      </c>
      <c r="H297" s="28">
        <v>0</v>
      </c>
      <c r="I297" s="28">
        <v>1.75</v>
      </c>
      <c r="J297" s="28">
        <f t="shared" ref="J297:J328" si="25">+I297+H297+G297+F297+E297+D297</f>
        <v>10.199999999999999</v>
      </c>
      <c r="K297" s="28" t="s">
        <v>475</v>
      </c>
      <c r="L297" s="87">
        <v>10.199999999999999</v>
      </c>
    </row>
    <row r="298" spans="1:12">
      <c r="A298" s="27">
        <v>34</v>
      </c>
      <c r="B298" s="40">
        <v>200941310</v>
      </c>
      <c r="C298" s="54" t="s">
        <v>280</v>
      </c>
      <c r="D298" s="28">
        <v>4.26</v>
      </c>
      <c r="E298" s="28">
        <v>3.26</v>
      </c>
      <c r="F298" s="28">
        <v>7.8</v>
      </c>
      <c r="G298" s="28">
        <v>3.45</v>
      </c>
      <c r="H298" s="28">
        <v>5.25</v>
      </c>
      <c r="I298" s="28">
        <v>14.02</v>
      </c>
      <c r="J298" s="28">
        <f t="shared" si="25"/>
        <v>38.04</v>
      </c>
      <c r="K298" s="28" t="s">
        <v>475</v>
      </c>
      <c r="L298" s="87">
        <v>38.04</v>
      </c>
    </row>
    <row r="299" spans="1:12">
      <c r="A299" s="27">
        <v>35</v>
      </c>
      <c r="B299" s="40">
        <v>200941429</v>
      </c>
      <c r="C299" s="54" t="s">
        <v>281</v>
      </c>
      <c r="D299" s="28">
        <v>6.7</v>
      </c>
      <c r="E299" s="28">
        <v>5.0999999999999996</v>
      </c>
      <c r="F299" s="28">
        <v>6.3</v>
      </c>
      <c r="G299" s="28">
        <v>5.0999999999999996</v>
      </c>
      <c r="H299" s="28">
        <v>8.4</v>
      </c>
      <c r="I299" s="28">
        <v>13.83</v>
      </c>
      <c r="J299" s="28">
        <f t="shared" si="25"/>
        <v>45.43</v>
      </c>
      <c r="K299" s="28">
        <v>12.5</v>
      </c>
      <c r="L299" s="87">
        <f>+K299+J299</f>
        <v>57.93</v>
      </c>
    </row>
    <row r="300" spans="1:12">
      <c r="A300" s="27">
        <v>36</v>
      </c>
      <c r="B300" s="40">
        <v>200941431</v>
      </c>
      <c r="C300" s="54" t="s">
        <v>282</v>
      </c>
      <c r="D300" s="28">
        <v>5.2</v>
      </c>
      <c r="E300" s="28">
        <v>3.3</v>
      </c>
      <c r="F300" s="28">
        <v>5.7</v>
      </c>
      <c r="G300" s="28">
        <v>2.7</v>
      </c>
      <c r="H300" s="28">
        <v>5.4</v>
      </c>
      <c r="I300" s="28">
        <v>11.43</v>
      </c>
      <c r="J300" s="28">
        <f t="shared" si="25"/>
        <v>33.729999999999997</v>
      </c>
      <c r="K300" s="28" t="s">
        <v>475</v>
      </c>
      <c r="L300" s="87">
        <v>33.729999999999997</v>
      </c>
    </row>
    <row r="301" spans="1:12">
      <c r="A301" s="27">
        <v>37</v>
      </c>
      <c r="B301" s="40">
        <v>200942148</v>
      </c>
      <c r="C301" s="52" t="s">
        <v>283</v>
      </c>
      <c r="D301" s="28">
        <v>8.8000000000000007</v>
      </c>
      <c r="E301" s="28">
        <v>7.95</v>
      </c>
      <c r="F301" s="28">
        <v>6.9</v>
      </c>
      <c r="G301" s="28">
        <v>4.05</v>
      </c>
      <c r="H301" s="28">
        <v>7.2</v>
      </c>
      <c r="I301" s="28">
        <v>15.7</v>
      </c>
      <c r="J301" s="28">
        <f t="shared" si="25"/>
        <v>50.600000000000009</v>
      </c>
      <c r="K301" s="28">
        <v>12</v>
      </c>
      <c r="L301" s="87">
        <f>+K301+J301</f>
        <v>62.600000000000009</v>
      </c>
    </row>
    <row r="302" spans="1:12">
      <c r="A302" s="27">
        <v>38</v>
      </c>
      <c r="B302" s="40">
        <v>200942756</v>
      </c>
      <c r="C302" s="54" t="s">
        <v>284</v>
      </c>
      <c r="D302" s="28">
        <v>5.74</v>
      </c>
      <c r="E302" s="28">
        <v>5.55</v>
      </c>
      <c r="F302" s="28">
        <v>7.2</v>
      </c>
      <c r="G302" s="28">
        <v>0</v>
      </c>
      <c r="H302" s="28">
        <v>0</v>
      </c>
      <c r="I302" s="28">
        <v>5.0999999999999996</v>
      </c>
      <c r="J302" s="28">
        <f t="shared" si="25"/>
        <v>23.590000000000003</v>
      </c>
      <c r="K302" s="28" t="s">
        <v>475</v>
      </c>
      <c r="L302" s="87">
        <v>23.59</v>
      </c>
    </row>
    <row r="303" spans="1:12">
      <c r="A303" s="27">
        <v>39</v>
      </c>
      <c r="B303" s="43">
        <v>200943124</v>
      </c>
      <c r="C303" s="93" t="s">
        <v>364</v>
      </c>
      <c r="D303" s="28">
        <v>3.6</v>
      </c>
      <c r="E303" s="28">
        <v>3.6</v>
      </c>
      <c r="F303" s="28">
        <v>6.3</v>
      </c>
      <c r="G303" s="28">
        <v>5.7</v>
      </c>
      <c r="H303" s="28">
        <v>7.95</v>
      </c>
      <c r="I303" s="28">
        <v>15.73</v>
      </c>
      <c r="J303" s="28">
        <f t="shared" si="25"/>
        <v>42.88</v>
      </c>
      <c r="K303" s="28">
        <v>15</v>
      </c>
      <c r="L303" s="87">
        <f>+K303+J303</f>
        <v>57.88</v>
      </c>
    </row>
    <row r="304" spans="1:12">
      <c r="A304" s="27">
        <v>40</v>
      </c>
      <c r="B304" s="57">
        <v>200943129</v>
      </c>
      <c r="C304" s="60" t="s">
        <v>287</v>
      </c>
      <c r="D304" s="28">
        <v>7.16</v>
      </c>
      <c r="E304" s="28">
        <v>1.65</v>
      </c>
      <c r="F304" s="28">
        <v>5.4</v>
      </c>
      <c r="G304" s="28">
        <v>0</v>
      </c>
      <c r="H304" s="28">
        <v>0</v>
      </c>
      <c r="I304" s="28">
        <v>3.43</v>
      </c>
      <c r="J304" s="28">
        <f t="shared" si="25"/>
        <v>17.64</v>
      </c>
      <c r="K304" s="28" t="s">
        <v>475</v>
      </c>
      <c r="L304" s="87">
        <v>17.64</v>
      </c>
    </row>
    <row r="305" spans="1:12">
      <c r="A305" s="27">
        <v>41</v>
      </c>
      <c r="B305" s="71">
        <v>200943311</v>
      </c>
      <c r="C305" s="99" t="s">
        <v>288</v>
      </c>
      <c r="D305" s="28">
        <v>8.1999999999999993</v>
      </c>
      <c r="E305" s="28">
        <v>5.85</v>
      </c>
      <c r="F305" s="28">
        <v>6.9</v>
      </c>
      <c r="G305" s="28">
        <v>6</v>
      </c>
      <c r="H305" s="28">
        <v>8.15</v>
      </c>
      <c r="I305" s="28">
        <v>14.4</v>
      </c>
      <c r="J305" s="28">
        <f t="shared" si="25"/>
        <v>49.5</v>
      </c>
      <c r="K305" s="28">
        <v>14</v>
      </c>
      <c r="L305" s="87">
        <f>+K305+J305</f>
        <v>63.5</v>
      </c>
    </row>
    <row r="306" spans="1:12">
      <c r="A306" s="27">
        <v>42</v>
      </c>
      <c r="B306" s="40">
        <v>200943324</v>
      </c>
      <c r="C306" s="54" t="s">
        <v>289</v>
      </c>
      <c r="D306" s="28">
        <v>7</v>
      </c>
      <c r="E306" s="28">
        <v>7.05</v>
      </c>
      <c r="F306" s="28">
        <v>8.4</v>
      </c>
      <c r="G306" s="28">
        <v>6.3</v>
      </c>
      <c r="H306" s="28">
        <v>7.65</v>
      </c>
      <c r="I306" s="28">
        <v>9.91</v>
      </c>
      <c r="J306" s="28">
        <f t="shared" si="25"/>
        <v>46.31</v>
      </c>
      <c r="K306" s="28" t="s">
        <v>476</v>
      </c>
      <c r="L306" s="87">
        <v>46.31</v>
      </c>
    </row>
    <row r="307" spans="1:12">
      <c r="A307" s="27">
        <v>43</v>
      </c>
      <c r="B307" s="40">
        <v>200943328</v>
      </c>
      <c r="C307" s="58" t="s">
        <v>290</v>
      </c>
      <c r="D307" s="28">
        <v>3.6</v>
      </c>
      <c r="E307" s="28">
        <v>3.9</v>
      </c>
      <c r="F307" s="28">
        <v>3.6</v>
      </c>
      <c r="G307" s="28">
        <v>2.85</v>
      </c>
      <c r="H307" s="28">
        <v>0</v>
      </c>
      <c r="I307" s="28">
        <v>7.27</v>
      </c>
      <c r="J307" s="28">
        <f t="shared" si="25"/>
        <v>21.22</v>
      </c>
      <c r="K307" s="28" t="s">
        <v>475</v>
      </c>
      <c r="L307" s="87">
        <v>21.22</v>
      </c>
    </row>
    <row r="308" spans="1:12">
      <c r="A308" s="27">
        <v>44</v>
      </c>
      <c r="B308" s="40">
        <v>200943367</v>
      </c>
      <c r="C308" s="58" t="s">
        <v>291</v>
      </c>
      <c r="D308" s="28">
        <v>6.5</v>
      </c>
      <c r="E308" s="28">
        <v>5.25</v>
      </c>
      <c r="F308" s="28">
        <v>5.4</v>
      </c>
      <c r="G308" s="28">
        <v>2.85</v>
      </c>
      <c r="H308" s="28">
        <v>4.3499999999999996</v>
      </c>
      <c r="I308" s="28">
        <v>12.5</v>
      </c>
      <c r="J308" s="28">
        <f t="shared" si="25"/>
        <v>36.85</v>
      </c>
      <c r="K308" s="28" t="s">
        <v>475</v>
      </c>
      <c r="L308" s="87">
        <v>38.65</v>
      </c>
    </row>
    <row r="309" spans="1:12">
      <c r="A309" s="27">
        <v>45</v>
      </c>
      <c r="B309" s="57">
        <v>200943515</v>
      </c>
      <c r="C309" s="58" t="s">
        <v>292</v>
      </c>
      <c r="D309" s="28">
        <v>10</v>
      </c>
      <c r="E309" s="28">
        <v>9.6</v>
      </c>
      <c r="F309" s="28">
        <v>8.6999999999999993</v>
      </c>
      <c r="G309" s="28">
        <v>7.5</v>
      </c>
      <c r="H309" s="28">
        <v>7.5</v>
      </c>
      <c r="I309" s="28">
        <v>15.8</v>
      </c>
      <c r="J309" s="28">
        <f t="shared" si="25"/>
        <v>59.1</v>
      </c>
      <c r="K309" s="28">
        <v>13.5</v>
      </c>
      <c r="L309" s="87">
        <f>+K309+J309</f>
        <v>72.599999999999994</v>
      </c>
    </row>
    <row r="310" spans="1:12">
      <c r="A310" s="27">
        <v>46</v>
      </c>
      <c r="B310" s="57">
        <v>200943644</v>
      </c>
      <c r="C310" s="58" t="s">
        <v>293</v>
      </c>
      <c r="D310" s="28">
        <v>4.1429999999999998</v>
      </c>
      <c r="E310" s="28">
        <v>1.95</v>
      </c>
      <c r="F310" s="28">
        <v>3</v>
      </c>
      <c r="G310" s="28">
        <v>2.1</v>
      </c>
      <c r="H310" s="28">
        <v>4.2</v>
      </c>
      <c r="I310" s="28">
        <v>7.16</v>
      </c>
      <c r="J310" s="28">
        <f t="shared" si="25"/>
        <v>22.553000000000001</v>
      </c>
      <c r="K310" s="28" t="s">
        <v>475</v>
      </c>
      <c r="L310" s="87">
        <v>22.55</v>
      </c>
    </row>
    <row r="311" spans="1:12">
      <c r="A311" s="27">
        <v>47</v>
      </c>
      <c r="B311" s="57">
        <v>200943647</v>
      </c>
      <c r="C311" s="58" t="s">
        <v>294</v>
      </c>
      <c r="D311" s="28">
        <v>7.36</v>
      </c>
      <c r="E311" s="28">
        <v>7.65</v>
      </c>
      <c r="F311" s="28">
        <v>7.5</v>
      </c>
      <c r="G311" s="28">
        <v>0</v>
      </c>
      <c r="H311" s="28">
        <v>0</v>
      </c>
      <c r="I311" s="28">
        <v>6.6</v>
      </c>
      <c r="J311" s="28">
        <f t="shared" si="25"/>
        <v>29.11</v>
      </c>
      <c r="K311" s="28" t="s">
        <v>475</v>
      </c>
      <c r="L311" s="87">
        <v>29.11</v>
      </c>
    </row>
    <row r="312" spans="1:12">
      <c r="A312" s="27">
        <v>48</v>
      </c>
      <c r="B312" s="57">
        <v>200943674</v>
      </c>
      <c r="C312" s="60" t="s">
        <v>295</v>
      </c>
      <c r="D312" s="28">
        <v>7.58</v>
      </c>
      <c r="E312" s="28">
        <v>7.65</v>
      </c>
      <c r="F312" s="28">
        <v>6</v>
      </c>
      <c r="G312" s="28">
        <v>5.0999999999999996</v>
      </c>
      <c r="H312" s="28">
        <v>8.25</v>
      </c>
      <c r="I312" s="28">
        <v>11.83</v>
      </c>
      <c r="J312" s="28">
        <f t="shared" si="25"/>
        <v>46.41</v>
      </c>
      <c r="K312" s="28">
        <v>13</v>
      </c>
      <c r="L312" s="87">
        <f>+K312+J312</f>
        <v>59.41</v>
      </c>
    </row>
    <row r="313" spans="1:12">
      <c r="A313" s="27">
        <v>49</v>
      </c>
      <c r="B313" s="57">
        <v>200944408</v>
      </c>
      <c r="C313" s="60" t="s">
        <v>296</v>
      </c>
      <c r="D313" s="28">
        <v>8.18</v>
      </c>
      <c r="E313" s="28">
        <v>8.1</v>
      </c>
      <c r="F313" s="28">
        <v>8.6999999999999993</v>
      </c>
      <c r="G313" s="28">
        <v>5.7</v>
      </c>
      <c r="H313" s="28">
        <v>6</v>
      </c>
      <c r="I313" s="28">
        <v>12.87</v>
      </c>
      <c r="J313" s="28">
        <f t="shared" si="25"/>
        <v>49.55</v>
      </c>
      <c r="K313" s="28">
        <v>13.5</v>
      </c>
      <c r="L313" s="87">
        <f>+K313+J313</f>
        <v>63.05</v>
      </c>
    </row>
    <row r="314" spans="1:12">
      <c r="A314" s="27">
        <v>50</v>
      </c>
      <c r="B314" s="57">
        <v>200945537</v>
      </c>
      <c r="C314" s="52" t="s">
        <v>297</v>
      </c>
      <c r="D314" s="28">
        <v>4.2</v>
      </c>
      <c r="E314" s="28">
        <v>3.3</v>
      </c>
      <c r="F314" s="28">
        <v>0</v>
      </c>
      <c r="G314" s="28">
        <v>0</v>
      </c>
      <c r="H314" s="28">
        <v>0</v>
      </c>
      <c r="I314" s="28">
        <v>0.85</v>
      </c>
      <c r="J314" s="28">
        <f t="shared" si="25"/>
        <v>8.35</v>
      </c>
      <c r="K314" s="28" t="s">
        <v>475</v>
      </c>
      <c r="L314" s="87">
        <v>8.35</v>
      </c>
    </row>
    <row r="315" spans="1:12">
      <c r="A315" s="27">
        <v>51</v>
      </c>
      <c r="B315" s="57">
        <v>200946029</v>
      </c>
      <c r="C315" s="52" t="s">
        <v>298</v>
      </c>
      <c r="D315" s="28">
        <v>7.74</v>
      </c>
      <c r="E315" s="28">
        <v>5.4</v>
      </c>
      <c r="F315" s="28">
        <v>8.4</v>
      </c>
      <c r="G315" s="28">
        <v>6</v>
      </c>
      <c r="H315" s="28">
        <v>9.1</v>
      </c>
      <c r="I315" s="28">
        <v>14.61</v>
      </c>
      <c r="J315" s="28">
        <f t="shared" si="25"/>
        <v>51.25</v>
      </c>
      <c r="K315" s="28">
        <v>14</v>
      </c>
      <c r="L315" s="87">
        <f>+K315+J315</f>
        <v>65.25</v>
      </c>
    </row>
    <row r="316" spans="1:12">
      <c r="A316" s="27">
        <v>52</v>
      </c>
      <c r="B316" s="57">
        <v>200946037</v>
      </c>
      <c r="C316" s="52" t="s">
        <v>299</v>
      </c>
      <c r="D316" s="28">
        <v>6.54</v>
      </c>
      <c r="E316" s="28">
        <v>2.9</v>
      </c>
      <c r="F316" s="28">
        <v>7.5</v>
      </c>
      <c r="G316" s="28">
        <v>2.1</v>
      </c>
      <c r="H316" s="28">
        <v>0</v>
      </c>
      <c r="I316" s="28">
        <v>4.6500000000000004</v>
      </c>
      <c r="J316" s="28">
        <f t="shared" si="25"/>
        <v>23.689999999999998</v>
      </c>
      <c r="K316" s="28" t="s">
        <v>475</v>
      </c>
      <c r="L316" s="87">
        <v>23.69</v>
      </c>
    </row>
    <row r="317" spans="1:12">
      <c r="A317" s="29"/>
      <c r="B317" s="29"/>
      <c r="C317" s="30"/>
      <c r="D317" s="36"/>
      <c r="E317" s="36"/>
      <c r="F317" s="36"/>
      <c r="G317" s="36"/>
      <c r="H317" s="36"/>
      <c r="I317" s="36"/>
      <c r="J317" s="36"/>
      <c r="K317" s="36"/>
      <c r="L317" s="89"/>
    </row>
    <row r="318" spans="1:12">
      <c r="A318" s="29"/>
      <c r="B318" s="29"/>
      <c r="C318" s="30"/>
      <c r="D318" s="36"/>
      <c r="E318" s="36"/>
      <c r="F318" s="36"/>
      <c r="G318" s="36"/>
      <c r="H318" s="36"/>
      <c r="I318" s="36"/>
      <c r="J318" s="36"/>
      <c r="K318" s="36"/>
      <c r="L318" s="89"/>
    </row>
    <row r="319" spans="1:12" ht="17.25" thickBot="1">
      <c r="A319" s="29"/>
      <c r="B319" s="29"/>
      <c r="C319" s="30"/>
      <c r="D319" s="36"/>
      <c r="E319" s="36"/>
      <c r="F319" s="36"/>
      <c r="G319" s="36"/>
      <c r="H319" s="90"/>
      <c r="I319" s="90"/>
      <c r="J319" s="90"/>
      <c r="K319" s="7"/>
      <c r="L319" s="89"/>
    </row>
    <row r="320" spans="1:12">
      <c r="H320" s="101" t="s">
        <v>459</v>
      </c>
      <c r="I320" s="101"/>
      <c r="J320" s="101"/>
      <c r="L320" s="84"/>
    </row>
    <row r="321" spans="4:12">
      <c r="D321" s="36"/>
      <c r="H321" s="101" t="s">
        <v>430</v>
      </c>
      <c r="I321" s="101"/>
      <c r="J321" s="101"/>
      <c r="L321" s="84"/>
    </row>
    <row r="322" spans="4:12">
      <c r="D322" s="36"/>
      <c r="H322" s="101" t="s">
        <v>454</v>
      </c>
      <c r="I322" s="101"/>
      <c r="J322" s="101"/>
      <c r="L322" s="84"/>
    </row>
    <row r="337" spans="1:12" ht="17.25" thickBot="1">
      <c r="A337" s="84" t="s">
        <v>0</v>
      </c>
    </row>
    <row r="338" spans="1:12">
      <c r="A338" s="84" t="s">
        <v>1</v>
      </c>
      <c r="F338" s="4"/>
      <c r="G338" s="5"/>
      <c r="H338" s="6"/>
      <c r="I338" s="7"/>
    </row>
    <row r="339" spans="1:12">
      <c r="A339" s="13" t="s">
        <v>2</v>
      </c>
      <c r="B339" s="7"/>
      <c r="E339" s="7"/>
      <c r="F339" s="10"/>
      <c r="G339" s="11"/>
      <c r="H339" s="12"/>
      <c r="I339" s="7"/>
    </row>
    <row r="340" spans="1:12" ht="17.25" thickBot="1">
      <c r="A340" s="13" t="s">
        <v>3</v>
      </c>
      <c r="B340" s="7"/>
      <c r="E340" s="7"/>
      <c r="F340" s="10"/>
      <c r="G340" s="11"/>
      <c r="H340" s="12"/>
      <c r="I340" s="7"/>
    </row>
    <row r="341" spans="1:12" ht="17.25" thickBot="1">
      <c r="A341" s="96" t="s">
        <v>22</v>
      </c>
      <c r="B341" s="97"/>
      <c r="C341" s="98"/>
      <c r="E341" s="7"/>
      <c r="F341" s="17"/>
      <c r="G341" s="18"/>
      <c r="H341" s="19"/>
      <c r="I341" s="7"/>
    </row>
    <row r="342" spans="1:12">
      <c r="A342" s="13"/>
      <c r="B342" s="7"/>
      <c r="E342" s="7"/>
    </row>
    <row r="343" spans="1:12">
      <c r="A343" s="84" t="s">
        <v>91</v>
      </c>
      <c r="B343" s="7"/>
      <c r="C343" s="85" t="s">
        <v>365</v>
      </c>
      <c r="E343" s="7"/>
    </row>
    <row r="344" spans="1:12">
      <c r="A344" s="84" t="s">
        <v>4</v>
      </c>
      <c r="C344" s="85" t="s">
        <v>457</v>
      </c>
    </row>
    <row r="345" spans="1:12">
      <c r="A345" s="84" t="s">
        <v>5</v>
      </c>
      <c r="C345" s="85" t="s">
        <v>458</v>
      </c>
    </row>
    <row r="346" spans="1:12">
      <c r="A346" s="86"/>
      <c r="B346" s="86"/>
      <c r="C346" s="86"/>
      <c r="D346" s="86"/>
      <c r="E346" s="86"/>
      <c r="F346" s="86"/>
      <c r="G346" s="86"/>
      <c r="H346" s="86"/>
      <c r="I346" s="86"/>
      <c r="J346" s="86"/>
    </row>
    <row r="347" spans="1:12">
      <c r="A347" s="84"/>
      <c r="C347" s="22" t="s">
        <v>6</v>
      </c>
      <c r="D347" s="22" t="s">
        <v>435</v>
      </c>
      <c r="E347" s="22" t="s">
        <v>435</v>
      </c>
      <c r="F347" s="22" t="s">
        <v>435</v>
      </c>
      <c r="G347" s="22" t="s">
        <v>435</v>
      </c>
      <c r="H347" s="22" t="s">
        <v>435</v>
      </c>
      <c r="I347" s="22" t="s">
        <v>7</v>
      </c>
      <c r="J347" s="22" t="s">
        <v>8</v>
      </c>
      <c r="K347" s="22" t="s">
        <v>7</v>
      </c>
      <c r="L347" s="22" t="s">
        <v>9</v>
      </c>
    </row>
    <row r="348" spans="1:12">
      <c r="A348" s="22" t="s">
        <v>10</v>
      </c>
      <c r="B348" s="22" t="s">
        <v>11</v>
      </c>
      <c r="C348" s="22" t="s">
        <v>12</v>
      </c>
      <c r="D348" s="22" t="s">
        <v>13</v>
      </c>
      <c r="E348" s="22" t="s">
        <v>14</v>
      </c>
      <c r="F348" s="22" t="s">
        <v>15</v>
      </c>
      <c r="G348" s="22" t="s">
        <v>16</v>
      </c>
      <c r="H348" s="22" t="s">
        <v>17</v>
      </c>
      <c r="I348" s="22" t="s">
        <v>95</v>
      </c>
      <c r="J348" s="22" t="s">
        <v>18</v>
      </c>
      <c r="K348" s="22" t="s">
        <v>19</v>
      </c>
      <c r="L348" s="22" t="s">
        <v>20</v>
      </c>
    </row>
    <row r="349" spans="1:12">
      <c r="A349" s="27">
        <v>1</v>
      </c>
      <c r="B349" s="57">
        <v>200741821</v>
      </c>
      <c r="C349" s="58" t="s">
        <v>366</v>
      </c>
      <c r="D349" s="28">
        <v>8.1999999999999993</v>
      </c>
      <c r="E349" s="28">
        <v>9</v>
      </c>
      <c r="F349" s="28">
        <v>9</v>
      </c>
      <c r="G349" s="28">
        <v>5.4</v>
      </c>
      <c r="H349" s="28">
        <v>7.05</v>
      </c>
      <c r="I349" s="28">
        <v>14.05</v>
      </c>
      <c r="J349" s="28">
        <f t="shared" ref="J349:J380" si="26">+I349+H349+G349+F349+E349+D349</f>
        <v>52.7</v>
      </c>
      <c r="K349" s="28">
        <v>13</v>
      </c>
      <c r="L349" s="87">
        <f>+K349+J349</f>
        <v>65.7</v>
      </c>
    </row>
    <row r="350" spans="1:12">
      <c r="A350" s="88">
        <v>2</v>
      </c>
      <c r="B350" s="57">
        <v>200741835</v>
      </c>
      <c r="C350" s="58" t="s">
        <v>367</v>
      </c>
      <c r="D350" s="28">
        <v>8.8000000000000007</v>
      </c>
      <c r="E350" s="28">
        <v>9</v>
      </c>
      <c r="F350" s="28">
        <v>8.4</v>
      </c>
      <c r="G350" s="28">
        <v>6.45</v>
      </c>
      <c r="H350" s="28">
        <v>6.45</v>
      </c>
      <c r="I350" s="28">
        <v>16.16</v>
      </c>
      <c r="J350" s="28">
        <f t="shared" si="26"/>
        <v>55.260000000000005</v>
      </c>
      <c r="K350" s="28">
        <v>15.5</v>
      </c>
      <c r="L350" s="87">
        <f>+K350+J350</f>
        <v>70.760000000000005</v>
      </c>
    </row>
    <row r="351" spans="1:12">
      <c r="A351" s="27">
        <v>3</v>
      </c>
      <c r="B351" s="57">
        <v>200742536</v>
      </c>
      <c r="C351" s="58" t="s">
        <v>368</v>
      </c>
      <c r="D351" s="28">
        <v>9.9</v>
      </c>
      <c r="E351" s="28">
        <v>9</v>
      </c>
      <c r="F351" s="28">
        <v>9</v>
      </c>
      <c r="G351" s="28">
        <v>6.3</v>
      </c>
      <c r="H351" s="28">
        <v>0</v>
      </c>
      <c r="I351" s="28">
        <v>8.6</v>
      </c>
      <c r="J351" s="28">
        <f t="shared" si="26"/>
        <v>42.8</v>
      </c>
      <c r="K351" s="28" t="s">
        <v>476</v>
      </c>
      <c r="L351" s="87">
        <v>42.8</v>
      </c>
    </row>
    <row r="352" spans="1:12">
      <c r="A352" s="88">
        <v>4</v>
      </c>
      <c r="B352" s="57">
        <v>200742795</v>
      </c>
      <c r="C352" s="58" t="s">
        <v>370</v>
      </c>
      <c r="D352" s="28">
        <v>9.1</v>
      </c>
      <c r="E352" s="28">
        <v>6.65</v>
      </c>
      <c r="F352" s="28">
        <v>8.4</v>
      </c>
      <c r="G352" s="28">
        <v>5.25</v>
      </c>
      <c r="H352" s="28">
        <v>9.85</v>
      </c>
      <c r="I352" s="28">
        <v>12.2</v>
      </c>
      <c r="J352" s="28">
        <f t="shared" si="26"/>
        <v>51.449999999999996</v>
      </c>
      <c r="K352" s="28">
        <v>12.5</v>
      </c>
      <c r="L352" s="87">
        <f>+K352+J352</f>
        <v>63.949999999999996</v>
      </c>
    </row>
    <row r="353" spans="1:12">
      <c r="A353" s="88">
        <v>5</v>
      </c>
      <c r="B353" s="57">
        <v>200840057</v>
      </c>
      <c r="C353" s="58" t="s">
        <v>371</v>
      </c>
      <c r="D353" s="28">
        <v>3.7</v>
      </c>
      <c r="E353" s="28">
        <v>3.8</v>
      </c>
      <c r="F353" s="28">
        <v>2.7</v>
      </c>
      <c r="G353" s="28">
        <v>0</v>
      </c>
      <c r="H353" s="28">
        <v>0</v>
      </c>
      <c r="I353" s="28">
        <v>0</v>
      </c>
      <c r="J353" s="28">
        <f t="shared" si="26"/>
        <v>10.199999999999999</v>
      </c>
      <c r="K353" s="28" t="s">
        <v>475</v>
      </c>
      <c r="L353" s="87">
        <v>10.199999999999999</v>
      </c>
    </row>
    <row r="354" spans="1:12">
      <c r="A354" s="88">
        <v>6</v>
      </c>
      <c r="B354" s="57">
        <v>200840063</v>
      </c>
      <c r="C354" s="58" t="s">
        <v>372</v>
      </c>
      <c r="D354" s="28">
        <v>7.6</v>
      </c>
      <c r="E354" s="28">
        <v>8.1</v>
      </c>
      <c r="F354" s="28">
        <v>10.199999999999999</v>
      </c>
      <c r="G354" s="28">
        <v>3.9</v>
      </c>
      <c r="H354" s="28">
        <v>7.15</v>
      </c>
      <c r="I354" s="28">
        <v>14.46</v>
      </c>
      <c r="J354" s="28">
        <f t="shared" si="26"/>
        <v>51.41</v>
      </c>
      <c r="K354" s="28">
        <v>7</v>
      </c>
      <c r="L354" s="87">
        <f t="shared" ref="L354:L360" si="27">+K354+J354</f>
        <v>58.41</v>
      </c>
    </row>
    <row r="355" spans="1:12">
      <c r="A355" s="88">
        <v>7</v>
      </c>
      <c r="B355" s="57">
        <v>200840082</v>
      </c>
      <c r="C355" s="58" t="s">
        <v>373</v>
      </c>
      <c r="D355" s="28">
        <v>6.4</v>
      </c>
      <c r="E355" s="28">
        <v>6.7</v>
      </c>
      <c r="F355" s="28">
        <v>6.9</v>
      </c>
      <c r="G355" s="28">
        <v>7.5</v>
      </c>
      <c r="H355" s="28">
        <v>5.0999999999999996</v>
      </c>
      <c r="I355" s="28">
        <v>14</v>
      </c>
      <c r="J355" s="28">
        <f t="shared" si="26"/>
        <v>46.6</v>
      </c>
      <c r="K355" s="28">
        <v>14</v>
      </c>
      <c r="L355" s="87">
        <f t="shared" si="27"/>
        <v>60.6</v>
      </c>
    </row>
    <row r="356" spans="1:12">
      <c r="A356" s="88">
        <v>8</v>
      </c>
      <c r="B356" s="57">
        <v>200840117</v>
      </c>
      <c r="C356" s="58" t="s">
        <v>374</v>
      </c>
      <c r="D356" s="28">
        <v>7.8</v>
      </c>
      <c r="E356" s="28">
        <v>5.85</v>
      </c>
      <c r="F356" s="28">
        <v>7.8</v>
      </c>
      <c r="G356" s="28">
        <v>7.2</v>
      </c>
      <c r="H356" s="28">
        <v>8.9</v>
      </c>
      <c r="I356" s="28">
        <v>14.53</v>
      </c>
      <c r="J356" s="28">
        <f t="shared" si="26"/>
        <v>52.08</v>
      </c>
      <c r="K356" s="28">
        <v>16.5</v>
      </c>
      <c r="L356" s="87">
        <f t="shared" si="27"/>
        <v>68.58</v>
      </c>
    </row>
    <row r="357" spans="1:12">
      <c r="A357" s="88">
        <v>9</v>
      </c>
      <c r="B357" s="57">
        <v>200840178</v>
      </c>
      <c r="C357" s="60" t="s">
        <v>377</v>
      </c>
      <c r="D357" s="28">
        <v>8</v>
      </c>
      <c r="E357" s="28">
        <v>6.5</v>
      </c>
      <c r="F357" s="28">
        <v>7.05</v>
      </c>
      <c r="G357" s="28">
        <v>5.4</v>
      </c>
      <c r="H357" s="28">
        <v>9</v>
      </c>
      <c r="I357" s="28">
        <v>15.85</v>
      </c>
      <c r="J357" s="28">
        <f t="shared" si="26"/>
        <v>51.8</v>
      </c>
      <c r="K357" s="28">
        <v>14</v>
      </c>
      <c r="L357" s="87">
        <f t="shared" si="27"/>
        <v>65.8</v>
      </c>
    </row>
    <row r="358" spans="1:12">
      <c r="A358" s="88">
        <v>10</v>
      </c>
      <c r="B358" s="57">
        <v>200840190</v>
      </c>
      <c r="C358" s="58" t="s">
        <v>379</v>
      </c>
      <c r="D358" s="28">
        <v>7.52</v>
      </c>
      <c r="E358" s="28">
        <v>5.7</v>
      </c>
      <c r="F358" s="28">
        <v>7.8</v>
      </c>
      <c r="G358" s="28">
        <v>5.4</v>
      </c>
      <c r="H358" s="28">
        <v>9.65</v>
      </c>
      <c r="I358" s="28">
        <v>16.399999999999999</v>
      </c>
      <c r="J358" s="28">
        <f t="shared" si="26"/>
        <v>52.47</v>
      </c>
      <c r="K358" s="28">
        <v>15.5</v>
      </c>
      <c r="L358" s="87">
        <f t="shared" si="27"/>
        <v>67.97</v>
      </c>
    </row>
    <row r="359" spans="1:12">
      <c r="A359" s="88">
        <v>11</v>
      </c>
      <c r="B359" s="57">
        <v>200840194</v>
      </c>
      <c r="C359" s="58" t="s">
        <v>380</v>
      </c>
      <c r="D359" s="28">
        <v>8.8000000000000007</v>
      </c>
      <c r="E359" s="28">
        <v>8.85</v>
      </c>
      <c r="F359" s="28">
        <v>9.9</v>
      </c>
      <c r="G359" s="28">
        <v>8.5500000000000007</v>
      </c>
      <c r="H359" s="28">
        <v>6.65</v>
      </c>
      <c r="I359" s="28">
        <v>16.260000000000002</v>
      </c>
      <c r="J359" s="28">
        <f t="shared" si="26"/>
        <v>59.010000000000005</v>
      </c>
      <c r="K359" s="28">
        <v>16</v>
      </c>
      <c r="L359" s="87">
        <f t="shared" si="27"/>
        <v>75.010000000000005</v>
      </c>
    </row>
    <row r="360" spans="1:12">
      <c r="A360" s="88">
        <v>12</v>
      </c>
      <c r="B360" s="57">
        <v>200842080</v>
      </c>
      <c r="C360" s="58" t="s">
        <v>383</v>
      </c>
      <c r="D360" s="28">
        <v>8.3000000000000007</v>
      </c>
      <c r="E360" s="28">
        <v>6.75</v>
      </c>
      <c r="F360" s="28">
        <v>10.5</v>
      </c>
      <c r="G360" s="28">
        <v>5.0999999999999996</v>
      </c>
      <c r="H360" s="28">
        <v>9.15</v>
      </c>
      <c r="I360" s="28">
        <v>13.96</v>
      </c>
      <c r="J360" s="28">
        <f t="shared" si="26"/>
        <v>53.760000000000005</v>
      </c>
      <c r="K360" s="28">
        <v>13</v>
      </c>
      <c r="L360" s="87">
        <f t="shared" si="27"/>
        <v>66.760000000000005</v>
      </c>
    </row>
    <row r="361" spans="1:12">
      <c r="A361" s="88">
        <v>13</v>
      </c>
      <c r="B361" s="57">
        <v>200842122</v>
      </c>
      <c r="C361" s="60" t="s">
        <v>384</v>
      </c>
      <c r="D361" s="28">
        <v>3.22</v>
      </c>
      <c r="E361" s="28">
        <v>5.35</v>
      </c>
      <c r="F361" s="28">
        <v>4.8</v>
      </c>
      <c r="G361" s="28">
        <v>3.3</v>
      </c>
      <c r="H361" s="28">
        <v>4.3499999999999996</v>
      </c>
      <c r="I361" s="28">
        <v>10.15</v>
      </c>
      <c r="J361" s="28">
        <f t="shared" si="26"/>
        <v>31.17</v>
      </c>
      <c r="K361" s="28" t="s">
        <v>475</v>
      </c>
      <c r="L361" s="87">
        <v>31.17</v>
      </c>
    </row>
    <row r="362" spans="1:12">
      <c r="A362" s="88">
        <v>14</v>
      </c>
      <c r="B362" s="57">
        <v>200842241</v>
      </c>
      <c r="C362" s="58" t="s">
        <v>385</v>
      </c>
      <c r="D362" s="28">
        <v>7.8</v>
      </c>
      <c r="E362" s="28">
        <v>6.5</v>
      </c>
      <c r="F362" s="28">
        <v>7.2</v>
      </c>
      <c r="G362" s="28">
        <v>7.95</v>
      </c>
      <c r="H362" s="28">
        <v>7.4</v>
      </c>
      <c r="I362" s="28">
        <v>16.88</v>
      </c>
      <c r="J362" s="28">
        <f t="shared" si="26"/>
        <v>53.730000000000004</v>
      </c>
      <c r="K362" s="28">
        <v>8</v>
      </c>
      <c r="L362" s="87">
        <f>+K362+J362</f>
        <v>61.730000000000004</v>
      </c>
    </row>
    <row r="363" spans="1:12">
      <c r="A363" s="27">
        <v>15</v>
      </c>
      <c r="B363" s="57">
        <v>200842422</v>
      </c>
      <c r="C363" s="58" t="s">
        <v>386</v>
      </c>
      <c r="D363" s="28">
        <v>7.2</v>
      </c>
      <c r="E363" s="28">
        <v>8.4</v>
      </c>
      <c r="F363" s="28">
        <v>8.4</v>
      </c>
      <c r="G363" s="28">
        <v>5.7</v>
      </c>
      <c r="H363" s="28">
        <v>6.75</v>
      </c>
      <c r="I363" s="28">
        <v>16.55</v>
      </c>
      <c r="J363" s="28">
        <f t="shared" si="26"/>
        <v>53</v>
      </c>
      <c r="K363" s="28">
        <v>10</v>
      </c>
      <c r="L363" s="87">
        <f>+K363+J363</f>
        <v>63</v>
      </c>
    </row>
    <row r="364" spans="1:12">
      <c r="A364" s="27">
        <v>16</v>
      </c>
      <c r="B364" s="57">
        <v>200842445</v>
      </c>
      <c r="C364" s="58" t="s">
        <v>387</v>
      </c>
      <c r="D364" s="28">
        <v>9.6</v>
      </c>
      <c r="E364" s="28">
        <v>7.8</v>
      </c>
      <c r="F364" s="28">
        <v>8.6999999999999993</v>
      </c>
      <c r="G364" s="28">
        <v>7.8</v>
      </c>
      <c r="H364" s="28">
        <v>7.9</v>
      </c>
      <c r="I364" s="28">
        <v>15.9</v>
      </c>
      <c r="J364" s="28">
        <f t="shared" si="26"/>
        <v>57.699999999999996</v>
      </c>
      <c r="K364" s="28">
        <v>16</v>
      </c>
      <c r="L364" s="87">
        <f>+K364+J364</f>
        <v>73.699999999999989</v>
      </c>
    </row>
    <row r="365" spans="1:12">
      <c r="A365" s="27">
        <v>17</v>
      </c>
      <c r="B365" s="57">
        <v>200842701</v>
      </c>
      <c r="C365" s="58" t="s">
        <v>388</v>
      </c>
      <c r="D365" s="28">
        <v>7.72</v>
      </c>
      <c r="E365" s="28">
        <v>5.7</v>
      </c>
      <c r="F365" s="28">
        <v>5.7</v>
      </c>
      <c r="G365" s="28">
        <v>4.2</v>
      </c>
      <c r="H365" s="28">
        <v>0</v>
      </c>
      <c r="I365" s="28">
        <v>7.05</v>
      </c>
      <c r="J365" s="28">
        <f t="shared" si="26"/>
        <v>30.369999999999997</v>
      </c>
      <c r="K365" s="28" t="s">
        <v>475</v>
      </c>
      <c r="L365" s="87">
        <v>30.31</v>
      </c>
    </row>
    <row r="366" spans="1:12">
      <c r="A366" s="27">
        <v>18</v>
      </c>
      <c r="B366" s="57">
        <v>200843354</v>
      </c>
      <c r="C366" s="60" t="s">
        <v>389</v>
      </c>
      <c r="D366" s="28">
        <v>7.36</v>
      </c>
      <c r="E366" s="28">
        <v>5.5</v>
      </c>
      <c r="F366" s="28">
        <v>6.6</v>
      </c>
      <c r="G366" s="28">
        <v>5.7</v>
      </c>
      <c r="H366" s="28">
        <v>7.65</v>
      </c>
      <c r="I366" s="28">
        <v>11.9</v>
      </c>
      <c r="J366" s="28">
        <f t="shared" si="26"/>
        <v>44.71</v>
      </c>
      <c r="K366" s="28">
        <v>8</v>
      </c>
      <c r="L366" s="87">
        <f>+K366+J366</f>
        <v>52.71</v>
      </c>
    </row>
    <row r="367" spans="1:12">
      <c r="A367" s="27">
        <v>19</v>
      </c>
      <c r="B367" s="57">
        <v>200843490</v>
      </c>
      <c r="C367" s="58" t="s">
        <v>390</v>
      </c>
      <c r="D367" s="28">
        <v>7.9</v>
      </c>
      <c r="E367" s="28">
        <v>5.0999999999999996</v>
      </c>
      <c r="F367" s="28">
        <v>6</v>
      </c>
      <c r="G367" s="28">
        <v>3.9</v>
      </c>
      <c r="H367" s="28">
        <v>0</v>
      </c>
      <c r="I367" s="28">
        <v>5.05</v>
      </c>
      <c r="J367" s="28">
        <f t="shared" si="26"/>
        <v>27.949999999999996</v>
      </c>
      <c r="K367" s="28" t="s">
        <v>475</v>
      </c>
      <c r="L367" s="87">
        <v>27.95</v>
      </c>
    </row>
    <row r="368" spans="1:12">
      <c r="A368" s="27">
        <v>20</v>
      </c>
      <c r="B368" s="57">
        <v>200940321</v>
      </c>
      <c r="C368" s="58" t="s">
        <v>460</v>
      </c>
      <c r="D368" s="28">
        <v>7.1</v>
      </c>
      <c r="E368" s="28">
        <v>6.35</v>
      </c>
      <c r="F368" s="28">
        <v>6</v>
      </c>
      <c r="G368" s="28">
        <v>3.6</v>
      </c>
      <c r="H368" s="28">
        <v>0</v>
      </c>
      <c r="I368" s="28">
        <v>12.63</v>
      </c>
      <c r="J368" s="28">
        <f t="shared" si="26"/>
        <v>35.68</v>
      </c>
      <c r="K368" s="28" t="s">
        <v>475</v>
      </c>
      <c r="L368" s="87">
        <v>35.68</v>
      </c>
    </row>
    <row r="369" spans="1:12">
      <c r="A369" s="27">
        <v>21</v>
      </c>
      <c r="B369" s="57">
        <v>200940459</v>
      </c>
      <c r="C369" s="58" t="s">
        <v>394</v>
      </c>
      <c r="D369" s="28">
        <v>6.82</v>
      </c>
      <c r="E369" s="28">
        <v>6.3</v>
      </c>
      <c r="F369" s="28">
        <v>6.9</v>
      </c>
      <c r="G369" s="28">
        <v>4.2</v>
      </c>
      <c r="H369" s="28">
        <v>9</v>
      </c>
      <c r="I369" s="28">
        <v>15.51</v>
      </c>
      <c r="J369" s="28">
        <f t="shared" si="26"/>
        <v>48.73</v>
      </c>
      <c r="K369" s="28">
        <v>13</v>
      </c>
      <c r="L369" s="87">
        <f>+K369+J369</f>
        <v>61.73</v>
      </c>
    </row>
    <row r="370" spans="1:12">
      <c r="A370" s="27">
        <v>22</v>
      </c>
      <c r="B370" s="57">
        <v>200940500</v>
      </c>
      <c r="C370" s="58" t="s">
        <v>395</v>
      </c>
      <c r="D370" s="28">
        <v>8.36</v>
      </c>
      <c r="E370" s="28">
        <v>7.6</v>
      </c>
      <c r="F370" s="28">
        <v>8.1</v>
      </c>
      <c r="G370" s="28">
        <v>7.95</v>
      </c>
      <c r="H370" s="28">
        <v>9.4</v>
      </c>
      <c r="I370" s="28">
        <v>13.83</v>
      </c>
      <c r="J370" s="28">
        <f t="shared" si="26"/>
        <v>55.24</v>
      </c>
      <c r="K370" s="28">
        <v>17</v>
      </c>
      <c r="L370" s="87">
        <f>+K370+J370</f>
        <v>72.240000000000009</v>
      </c>
    </row>
    <row r="371" spans="1:12">
      <c r="A371" s="27">
        <v>23</v>
      </c>
      <c r="B371" s="57">
        <v>200940507</v>
      </c>
      <c r="C371" s="60" t="s">
        <v>276</v>
      </c>
      <c r="D371" s="28">
        <v>9.9</v>
      </c>
      <c r="E371" s="28">
        <v>8.9</v>
      </c>
      <c r="F371" s="28">
        <v>10.199999999999999</v>
      </c>
      <c r="G371" s="28">
        <v>7.65</v>
      </c>
      <c r="H371" s="28">
        <v>9.15</v>
      </c>
      <c r="I371" s="28">
        <v>14.8</v>
      </c>
      <c r="J371" s="28">
        <f t="shared" si="26"/>
        <v>60.599999999999994</v>
      </c>
      <c r="K371" s="28">
        <v>14</v>
      </c>
      <c r="L371" s="87">
        <f>+K371+J371</f>
        <v>74.599999999999994</v>
      </c>
    </row>
    <row r="372" spans="1:12">
      <c r="A372" s="27">
        <v>24</v>
      </c>
      <c r="B372" s="57">
        <v>200940520</v>
      </c>
      <c r="C372" s="58" t="s">
        <v>396</v>
      </c>
      <c r="D372" s="28">
        <v>10.119999999999999</v>
      </c>
      <c r="E372" s="28">
        <v>8.6999999999999993</v>
      </c>
      <c r="F372" s="28">
        <v>7.8</v>
      </c>
      <c r="G372" s="28">
        <v>5.7</v>
      </c>
      <c r="H372" s="28">
        <v>6.65</v>
      </c>
      <c r="I372" s="28">
        <v>11.51</v>
      </c>
      <c r="J372" s="28">
        <f t="shared" si="26"/>
        <v>50.48</v>
      </c>
      <c r="K372" s="28">
        <v>13</v>
      </c>
      <c r="L372" s="87">
        <f>+K372+J372</f>
        <v>63.48</v>
      </c>
    </row>
    <row r="373" spans="1:12">
      <c r="A373" s="27">
        <v>25</v>
      </c>
      <c r="B373" s="57">
        <v>200940528</v>
      </c>
      <c r="C373" s="58" t="s">
        <v>397</v>
      </c>
      <c r="D373" s="28">
        <v>6.14</v>
      </c>
      <c r="E373" s="28">
        <v>0</v>
      </c>
      <c r="F373" s="28">
        <v>0</v>
      </c>
      <c r="G373" s="28">
        <v>0</v>
      </c>
      <c r="H373" s="28">
        <v>0</v>
      </c>
      <c r="I373" s="28">
        <v>1.75</v>
      </c>
      <c r="J373" s="28">
        <f t="shared" si="26"/>
        <v>7.89</v>
      </c>
      <c r="K373" s="28" t="s">
        <v>475</v>
      </c>
      <c r="L373" s="87">
        <v>7.89</v>
      </c>
    </row>
    <row r="374" spans="1:12">
      <c r="A374" s="27">
        <v>26</v>
      </c>
      <c r="B374" s="57">
        <v>200940536</v>
      </c>
      <c r="C374" s="58" t="s">
        <v>398</v>
      </c>
      <c r="D374" s="28">
        <v>7.62</v>
      </c>
      <c r="E374" s="28">
        <v>8.02</v>
      </c>
      <c r="F374" s="28">
        <v>8.1</v>
      </c>
      <c r="G374" s="28">
        <v>4.2</v>
      </c>
      <c r="H374" s="28">
        <v>7.15</v>
      </c>
      <c r="I374" s="28">
        <v>14.76</v>
      </c>
      <c r="J374" s="28">
        <f t="shared" si="26"/>
        <v>49.85</v>
      </c>
      <c r="K374" s="28">
        <v>13</v>
      </c>
      <c r="L374" s="87">
        <f>+K374+J374</f>
        <v>62.85</v>
      </c>
    </row>
    <row r="375" spans="1:12">
      <c r="A375" s="27">
        <v>27</v>
      </c>
      <c r="B375" s="57">
        <v>200940876</v>
      </c>
      <c r="C375" s="58" t="s">
        <v>399</v>
      </c>
      <c r="D375" s="28">
        <v>4.54</v>
      </c>
      <c r="E375" s="28">
        <v>3.6</v>
      </c>
      <c r="F375" s="28">
        <v>6.6</v>
      </c>
      <c r="G375" s="28">
        <v>3.9</v>
      </c>
      <c r="H375" s="28">
        <v>5.75</v>
      </c>
      <c r="I375" s="28">
        <v>12.86</v>
      </c>
      <c r="J375" s="28">
        <f t="shared" si="26"/>
        <v>37.25</v>
      </c>
      <c r="K375" s="28" t="s">
        <v>475</v>
      </c>
      <c r="L375" s="87">
        <v>37.25</v>
      </c>
    </row>
    <row r="376" spans="1:12">
      <c r="A376" s="27">
        <v>28</v>
      </c>
      <c r="B376" s="57">
        <v>200940879</v>
      </c>
      <c r="C376" s="60" t="s">
        <v>400</v>
      </c>
      <c r="D376" s="28">
        <v>5</v>
      </c>
      <c r="E376" s="28">
        <v>3.95</v>
      </c>
      <c r="F376" s="28">
        <v>6.3</v>
      </c>
      <c r="G376" s="28">
        <v>4.8</v>
      </c>
      <c r="H376" s="28">
        <v>0</v>
      </c>
      <c r="I376" s="28">
        <v>8.73</v>
      </c>
      <c r="J376" s="28">
        <f t="shared" si="26"/>
        <v>28.78</v>
      </c>
      <c r="K376" s="28" t="s">
        <v>475</v>
      </c>
      <c r="L376" s="87">
        <v>28.78</v>
      </c>
    </row>
    <row r="377" spans="1:12">
      <c r="A377" s="27">
        <v>29</v>
      </c>
      <c r="B377" s="57">
        <v>200941420</v>
      </c>
      <c r="C377" s="60" t="s">
        <v>401</v>
      </c>
      <c r="D377" s="28">
        <v>6.4</v>
      </c>
      <c r="E377" s="28">
        <v>3</v>
      </c>
      <c r="F377" s="28">
        <v>6.9</v>
      </c>
      <c r="G377" s="28">
        <v>3.3</v>
      </c>
      <c r="H377" s="28">
        <v>3.6</v>
      </c>
      <c r="I377" s="28">
        <v>7.66</v>
      </c>
      <c r="J377" s="28">
        <f t="shared" si="26"/>
        <v>30.86</v>
      </c>
      <c r="K377" s="28" t="s">
        <v>475</v>
      </c>
      <c r="L377" s="87">
        <v>30.86</v>
      </c>
    </row>
    <row r="378" spans="1:12">
      <c r="A378" s="27">
        <v>30</v>
      </c>
      <c r="B378" s="57">
        <v>200942150</v>
      </c>
      <c r="C378" s="60" t="s">
        <v>402</v>
      </c>
      <c r="D378" s="28">
        <v>6.84</v>
      </c>
      <c r="E378" s="28">
        <v>0</v>
      </c>
      <c r="F378" s="28">
        <v>0</v>
      </c>
      <c r="G378" s="28">
        <v>0</v>
      </c>
      <c r="H378" s="28">
        <v>0</v>
      </c>
      <c r="I378" s="28">
        <v>2.5</v>
      </c>
      <c r="J378" s="28">
        <f t="shared" si="26"/>
        <v>9.34</v>
      </c>
      <c r="K378" s="28" t="s">
        <v>475</v>
      </c>
      <c r="L378" s="87">
        <v>9.34</v>
      </c>
    </row>
    <row r="379" spans="1:12">
      <c r="A379" s="27">
        <v>31</v>
      </c>
      <c r="B379" s="57">
        <v>200942163</v>
      </c>
      <c r="C379" s="58" t="s">
        <v>403</v>
      </c>
      <c r="D379" s="28">
        <v>7</v>
      </c>
      <c r="E379" s="28">
        <v>7.2</v>
      </c>
      <c r="F379" s="28">
        <v>6</v>
      </c>
      <c r="G379" s="28">
        <v>0</v>
      </c>
      <c r="H379" s="28">
        <v>0</v>
      </c>
      <c r="I379" s="28">
        <v>7.26</v>
      </c>
      <c r="J379" s="28">
        <f t="shared" si="26"/>
        <v>27.46</v>
      </c>
      <c r="K379" s="28" t="s">
        <v>475</v>
      </c>
      <c r="L379" s="87">
        <v>27.46</v>
      </c>
    </row>
    <row r="380" spans="1:12">
      <c r="A380" s="27">
        <v>32</v>
      </c>
      <c r="B380" s="57">
        <v>200942665</v>
      </c>
      <c r="C380" s="60" t="s">
        <v>404</v>
      </c>
      <c r="D380" s="28">
        <v>8.4600000000000009</v>
      </c>
      <c r="E380" s="28">
        <v>6.45</v>
      </c>
      <c r="F380" s="28">
        <v>8.1</v>
      </c>
      <c r="G380" s="28">
        <v>5.7</v>
      </c>
      <c r="H380" s="28">
        <v>6.8</v>
      </c>
      <c r="I380" s="28">
        <v>15.61</v>
      </c>
      <c r="J380" s="28">
        <f t="shared" si="26"/>
        <v>51.120000000000005</v>
      </c>
      <c r="K380" s="28">
        <v>14.5</v>
      </c>
      <c r="L380" s="87">
        <f>+K380+J380</f>
        <v>65.62</v>
      </c>
    </row>
    <row r="381" spans="1:12">
      <c r="A381" s="27">
        <v>33</v>
      </c>
      <c r="B381" s="57">
        <v>200942674</v>
      </c>
      <c r="C381" s="58" t="s">
        <v>405</v>
      </c>
      <c r="D381" s="28">
        <v>6.08</v>
      </c>
      <c r="E381" s="28">
        <v>0</v>
      </c>
      <c r="F381" s="28">
        <v>0</v>
      </c>
      <c r="G381" s="28">
        <v>0</v>
      </c>
      <c r="H381" s="28">
        <v>0</v>
      </c>
      <c r="I381" s="28">
        <v>2.4</v>
      </c>
      <c r="J381" s="28">
        <f t="shared" ref="J381:J412" si="28">+I381+H381+G381+F381+E381+D381</f>
        <v>8.48</v>
      </c>
      <c r="K381" s="28" t="s">
        <v>475</v>
      </c>
      <c r="L381" s="87">
        <v>8.48</v>
      </c>
    </row>
    <row r="382" spans="1:12">
      <c r="A382" s="27">
        <v>34</v>
      </c>
      <c r="B382" s="57">
        <v>200942710</v>
      </c>
      <c r="C382" s="60" t="s">
        <v>406</v>
      </c>
      <c r="D382" s="28">
        <v>7.42</v>
      </c>
      <c r="E382" s="28">
        <v>6.9</v>
      </c>
      <c r="F382" s="28">
        <v>7.8</v>
      </c>
      <c r="G382" s="28">
        <v>6.6</v>
      </c>
      <c r="H382" s="28">
        <v>9.5500000000000007</v>
      </c>
      <c r="I382" s="28">
        <v>15.41</v>
      </c>
      <c r="J382" s="28">
        <f t="shared" si="28"/>
        <v>53.68</v>
      </c>
      <c r="K382" s="28" t="s">
        <v>476</v>
      </c>
      <c r="L382" s="87">
        <v>53.68</v>
      </c>
    </row>
    <row r="383" spans="1:12">
      <c r="A383" s="27">
        <v>35</v>
      </c>
      <c r="B383" s="57">
        <v>200942784</v>
      </c>
      <c r="C383" s="58" t="s">
        <v>407</v>
      </c>
      <c r="D383" s="28">
        <v>8.08</v>
      </c>
      <c r="E383" s="28">
        <v>8.4</v>
      </c>
      <c r="F383" s="28">
        <v>8.1</v>
      </c>
      <c r="G383" s="28">
        <v>6</v>
      </c>
      <c r="H383" s="28">
        <v>9.5</v>
      </c>
      <c r="I383" s="28">
        <v>16.010000000000002</v>
      </c>
      <c r="J383" s="28">
        <f t="shared" si="28"/>
        <v>56.089999999999996</v>
      </c>
      <c r="K383" s="28">
        <v>15</v>
      </c>
      <c r="L383" s="87">
        <f>+K383+J383</f>
        <v>71.09</v>
      </c>
    </row>
    <row r="384" spans="1:12">
      <c r="A384" s="27">
        <v>36</v>
      </c>
      <c r="B384" s="57">
        <v>200942839</v>
      </c>
      <c r="C384" s="60" t="s">
        <v>285</v>
      </c>
      <c r="D384" s="28">
        <v>8.06</v>
      </c>
      <c r="E384" s="28">
        <v>7</v>
      </c>
      <c r="F384" s="28">
        <v>6.9</v>
      </c>
      <c r="G384" s="28">
        <v>5.4</v>
      </c>
      <c r="H384" s="28">
        <v>6.9</v>
      </c>
      <c r="I384" s="28">
        <v>14.38</v>
      </c>
      <c r="J384" s="28">
        <f t="shared" si="28"/>
        <v>48.64</v>
      </c>
      <c r="K384" s="28">
        <v>10.5</v>
      </c>
      <c r="L384" s="87">
        <f>+K384+J384</f>
        <v>59.14</v>
      </c>
    </row>
    <row r="385" spans="1:12">
      <c r="A385" s="27">
        <v>37</v>
      </c>
      <c r="B385" s="57">
        <v>200942841</v>
      </c>
      <c r="C385" s="58" t="s">
        <v>461</v>
      </c>
      <c r="D385" s="28">
        <v>9.36</v>
      </c>
      <c r="E385" s="28">
        <v>7.65</v>
      </c>
      <c r="F385" s="28">
        <v>9</v>
      </c>
      <c r="G385" s="28">
        <v>6.9</v>
      </c>
      <c r="H385" s="28">
        <v>5.7</v>
      </c>
      <c r="I385" s="28">
        <v>16.62</v>
      </c>
      <c r="J385" s="28">
        <f t="shared" si="28"/>
        <v>55.23</v>
      </c>
      <c r="K385" s="28">
        <v>11</v>
      </c>
      <c r="L385" s="87">
        <f>+K385+J385</f>
        <v>66.22999999999999</v>
      </c>
    </row>
    <row r="386" spans="1:12">
      <c r="A386" s="27">
        <v>38</v>
      </c>
      <c r="B386" s="57">
        <v>200942848</v>
      </c>
      <c r="C386" s="58" t="s">
        <v>408</v>
      </c>
      <c r="D386" s="28">
        <v>4.32</v>
      </c>
      <c r="E386" s="28">
        <v>0</v>
      </c>
      <c r="F386" s="28">
        <v>0</v>
      </c>
      <c r="G386" s="28">
        <v>0</v>
      </c>
      <c r="H386" s="28">
        <v>0</v>
      </c>
      <c r="I386" s="28">
        <v>2</v>
      </c>
      <c r="J386" s="28">
        <f t="shared" si="28"/>
        <v>6.32</v>
      </c>
      <c r="K386" s="28" t="s">
        <v>475</v>
      </c>
      <c r="L386" s="87">
        <v>6.32</v>
      </c>
    </row>
    <row r="387" spans="1:12">
      <c r="A387" s="27">
        <v>39</v>
      </c>
      <c r="B387" s="57">
        <v>200942862</v>
      </c>
      <c r="C387" s="58" t="s">
        <v>409</v>
      </c>
      <c r="D387" s="28">
        <v>3.36</v>
      </c>
      <c r="E387" s="28">
        <v>2.25</v>
      </c>
      <c r="F387" s="28">
        <v>2.1</v>
      </c>
      <c r="G387" s="28">
        <v>4.5</v>
      </c>
      <c r="H387" s="28">
        <v>3.2</v>
      </c>
      <c r="I387" s="28">
        <v>12.25</v>
      </c>
      <c r="J387" s="28">
        <f t="shared" si="28"/>
        <v>27.66</v>
      </c>
      <c r="K387" s="28" t="s">
        <v>475</v>
      </c>
      <c r="L387" s="87">
        <v>27.66</v>
      </c>
    </row>
    <row r="388" spans="1:12">
      <c r="A388" s="27">
        <v>40</v>
      </c>
      <c r="B388" s="57">
        <v>200942871</v>
      </c>
      <c r="C388" s="60" t="s">
        <v>410</v>
      </c>
      <c r="D388" s="28">
        <v>8.16</v>
      </c>
      <c r="E388" s="28">
        <v>6.15</v>
      </c>
      <c r="F388" s="28">
        <v>6.6</v>
      </c>
      <c r="G388" s="28">
        <v>6.3</v>
      </c>
      <c r="H388" s="28">
        <v>0</v>
      </c>
      <c r="I388" s="28">
        <v>10.01</v>
      </c>
      <c r="J388" s="28">
        <f t="shared" si="28"/>
        <v>37.22</v>
      </c>
      <c r="K388" s="28" t="s">
        <v>475</v>
      </c>
      <c r="L388" s="87">
        <v>37.22</v>
      </c>
    </row>
    <row r="389" spans="1:12">
      <c r="A389" s="27">
        <v>41</v>
      </c>
      <c r="B389" s="57">
        <v>200942929</v>
      </c>
      <c r="C389" s="60" t="s">
        <v>411</v>
      </c>
      <c r="D389" s="28">
        <v>8</v>
      </c>
      <c r="E389" s="28">
        <v>5.35</v>
      </c>
      <c r="F389" s="28">
        <v>0</v>
      </c>
      <c r="G389" s="28">
        <v>0</v>
      </c>
      <c r="H389" s="28">
        <v>0</v>
      </c>
      <c r="I389" s="28">
        <v>4.08</v>
      </c>
      <c r="J389" s="28">
        <f t="shared" si="28"/>
        <v>17.43</v>
      </c>
      <c r="K389" s="28" t="s">
        <v>475</v>
      </c>
      <c r="L389" s="87">
        <v>17.43</v>
      </c>
    </row>
    <row r="390" spans="1:12">
      <c r="A390" s="27">
        <v>42</v>
      </c>
      <c r="B390" s="57">
        <v>200943135</v>
      </c>
      <c r="C390" s="58" t="s">
        <v>412</v>
      </c>
      <c r="D390" s="28">
        <v>9.1999999999999993</v>
      </c>
      <c r="E390" s="28">
        <v>0</v>
      </c>
      <c r="F390" s="28">
        <v>0</v>
      </c>
      <c r="G390" s="28">
        <v>0</v>
      </c>
      <c r="H390" s="28">
        <v>0</v>
      </c>
      <c r="I390" s="28">
        <v>2.7</v>
      </c>
      <c r="J390" s="28">
        <f t="shared" si="28"/>
        <v>11.899999999999999</v>
      </c>
      <c r="K390" s="28" t="s">
        <v>475</v>
      </c>
      <c r="L390" s="87">
        <v>11.9</v>
      </c>
    </row>
    <row r="391" spans="1:12">
      <c r="A391" s="27">
        <v>43</v>
      </c>
      <c r="B391" s="57">
        <v>200943323</v>
      </c>
      <c r="C391" s="60" t="s">
        <v>413</v>
      </c>
      <c r="D391" s="28">
        <v>6.04</v>
      </c>
      <c r="E391" s="28">
        <v>5.6</v>
      </c>
      <c r="F391" s="28">
        <v>0</v>
      </c>
      <c r="G391" s="28">
        <v>5.55</v>
      </c>
      <c r="H391" s="28">
        <v>0</v>
      </c>
      <c r="I391" s="28">
        <v>7.71</v>
      </c>
      <c r="J391" s="28">
        <f t="shared" si="28"/>
        <v>24.9</v>
      </c>
      <c r="K391" s="28" t="s">
        <v>475</v>
      </c>
      <c r="L391" s="87">
        <v>24.9</v>
      </c>
    </row>
    <row r="392" spans="1:12">
      <c r="A392" s="27">
        <v>44</v>
      </c>
      <c r="B392" s="57">
        <v>200943325</v>
      </c>
      <c r="C392" s="58" t="s">
        <v>414</v>
      </c>
      <c r="D392" s="28">
        <v>5.8</v>
      </c>
      <c r="E392" s="28">
        <v>6.6</v>
      </c>
      <c r="F392" s="28">
        <v>6.9</v>
      </c>
      <c r="G392" s="28">
        <v>6.3</v>
      </c>
      <c r="H392" s="28">
        <v>0</v>
      </c>
      <c r="I392" s="28">
        <v>11.14</v>
      </c>
      <c r="J392" s="28">
        <f t="shared" si="28"/>
        <v>36.74</v>
      </c>
      <c r="K392" s="28" t="s">
        <v>475</v>
      </c>
      <c r="L392" s="87">
        <v>36.74</v>
      </c>
    </row>
    <row r="393" spans="1:12">
      <c r="A393" s="27">
        <v>45</v>
      </c>
      <c r="B393" s="57">
        <v>200943358</v>
      </c>
      <c r="C393" s="58" t="s">
        <v>415</v>
      </c>
      <c r="D393" s="28">
        <v>6.5</v>
      </c>
      <c r="E393" s="28">
        <v>5.0999999999999996</v>
      </c>
      <c r="F393" s="28">
        <v>6</v>
      </c>
      <c r="G393" s="28">
        <v>6.75</v>
      </c>
      <c r="H393" s="28">
        <v>0</v>
      </c>
      <c r="I393" s="28">
        <v>8.7799999999999994</v>
      </c>
      <c r="J393" s="28">
        <f t="shared" si="28"/>
        <v>33.130000000000003</v>
      </c>
      <c r="K393" s="28" t="s">
        <v>475</v>
      </c>
      <c r="L393" s="87">
        <v>33.130000000000003</v>
      </c>
    </row>
    <row r="394" spans="1:12">
      <c r="A394" s="27">
        <v>46</v>
      </c>
      <c r="B394" s="57">
        <v>200943362</v>
      </c>
      <c r="C394" s="58" t="s">
        <v>416</v>
      </c>
      <c r="D394" s="28">
        <v>6.5</v>
      </c>
      <c r="E394" s="28">
        <v>5.6</v>
      </c>
      <c r="F394" s="28">
        <v>4.9000000000000004</v>
      </c>
      <c r="G394" s="28">
        <v>7.05</v>
      </c>
      <c r="H394" s="28">
        <v>8.75</v>
      </c>
      <c r="I394" s="28">
        <v>13.18</v>
      </c>
      <c r="J394" s="28">
        <f t="shared" si="28"/>
        <v>45.980000000000004</v>
      </c>
      <c r="K394" s="28" t="s">
        <v>476</v>
      </c>
      <c r="L394" s="87">
        <v>45.98</v>
      </c>
    </row>
    <row r="395" spans="1:12">
      <c r="A395" s="27">
        <v>47</v>
      </c>
      <c r="B395" s="57">
        <v>200943370</v>
      </c>
      <c r="C395" s="60" t="s">
        <v>417</v>
      </c>
      <c r="D395" s="28">
        <v>6.7</v>
      </c>
      <c r="E395" s="28">
        <v>7.7</v>
      </c>
      <c r="F395" s="28">
        <v>7.5</v>
      </c>
      <c r="G395" s="28">
        <v>6.45</v>
      </c>
      <c r="H395" s="28">
        <v>8.3000000000000007</v>
      </c>
      <c r="I395" s="28">
        <v>16.61</v>
      </c>
      <c r="J395" s="28">
        <f t="shared" si="28"/>
        <v>53.260000000000005</v>
      </c>
      <c r="K395" s="28">
        <v>11.5</v>
      </c>
      <c r="L395" s="87">
        <f>+K395+J395</f>
        <v>64.760000000000005</v>
      </c>
    </row>
    <row r="396" spans="1:12">
      <c r="A396" s="27">
        <v>48</v>
      </c>
      <c r="B396" s="57">
        <v>200943372</v>
      </c>
      <c r="C396" s="60" t="s">
        <v>418</v>
      </c>
      <c r="D396" s="28">
        <v>5.94</v>
      </c>
      <c r="E396" s="28">
        <v>3.45</v>
      </c>
      <c r="F396" s="28">
        <v>6.6</v>
      </c>
      <c r="G396" s="28">
        <v>3.6</v>
      </c>
      <c r="H396" s="28">
        <v>5.6</v>
      </c>
      <c r="I396" s="28">
        <v>13.48</v>
      </c>
      <c r="J396" s="28">
        <f t="shared" si="28"/>
        <v>38.67</v>
      </c>
      <c r="K396" s="28" t="s">
        <v>475</v>
      </c>
      <c r="L396" s="87">
        <v>38.57</v>
      </c>
    </row>
    <row r="397" spans="1:12">
      <c r="A397" s="27">
        <v>49</v>
      </c>
      <c r="B397" s="57">
        <v>200943511</v>
      </c>
      <c r="C397" s="58" t="s">
        <v>419</v>
      </c>
      <c r="D397" s="28">
        <v>8.16</v>
      </c>
      <c r="E397" s="28">
        <v>8.0500000000000007</v>
      </c>
      <c r="F397" s="28">
        <v>8.4</v>
      </c>
      <c r="G397" s="28">
        <v>6.9</v>
      </c>
      <c r="H397" s="28">
        <v>9</v>
      </c>
      <c r="I397" s="28">
        <v>17.010000000000002</v>
      </c>
      <c r="J397" s="28">
        <f t="shared" si="28"/>
        <v>57.519999999999996</v>
      </c>
      <c r="K397" s="28">
        <v>13</v>
      </c>
      <c r="L397" s="87">
        <f>+K397+J397</f>
        <v>70.52</v>
      </c>
    </row>
    <row r="398" spans="1:12">
      <c r="A398" s="27">
        <v>50</v>
      </c>
      <c r="B398" s="57">
        <v>200943638</v>
      </c>
      <c r="C398" s="60" t="s">
        <v>420</v>
      </c>
      <c r="D398" s="28">
        <v>7.08</v>
      </c>
      <c r="E398" s="28">
        <v>5.85</v>
      </c>
      <c r="F398" s="28">
        <v>9</v>
      </c>
      <c r="G398" s="28">
        <v>5.85</v>
      </c>
      <c r="H398" s="28">
        <v>6.25</v>
      </c>
      <c r="I398" s="28">
        <v>13.6</v>
      </c>
      <c r="J398" s="28">
        <f t="shared" si="28"/>
        <v>47.63</v>
      </c>
      <c r="K398" s="28">
        <v>12.5</v>
      </c>
      <c r="L398" s="87">
        <f>+K398+J398</f>
        <v>60.13</v>
      </c>
    </row>
    <row r="399" spans="1:12">
      <c r="A399" s="27">
        <v>51</v>
      </c>
      <c r="B399" s="57">
        <v>200943718</v>
      </c>
      <c r="C399" s="60" t="s">
        <v>421</v>
      </c>
      <c r="D399" s="28">
        <v>8.8800000000000008</v>
      </c>
      <c r="E399" s="28">
        <v>8.4</v>
      </c>
      <c r="F399" s="28">
        <v>9.3000000000000007</v>
      </c>
      <c r="G399" s="28">
        <v>6.3</v>
      </c>
      <c r="H399" s="28">
        <v>9.5</v>
      </c>
      <c r="I399" s="28">
        <v>15</v>
      </c>
      <c r="J399" s="28">
        <f t="shared" si="28"/>
        <v>57.38</v>
      </c>
      <c r="K399" s="28">
        <v>15.5</v>
      </c>
      <c r="L399" s="87">
        <f>+K399+J399</f>
        <v>72.88</v>
      </c>
    </row>
    <row r="400" spans="1:12">
      <c r="A400" s="27">
        <v>52</v>
      </c>
      <c r="B400" s="57">
        <v>200944070</v>
      </c>
      <c r="C400" s="60" t="s">
        <v>422</v>
      </c>
      <c r="D400" s="28">
        <v>9.4</v>
      </c>
      <c r="E400" s="28">
        <v>5.5</v>
      </c>
      <c r="F400" s="28">
        <v>0</v>
      </c>
      <c r="G400" s="28">
        <v>0</v>
      </c>
      <c r="H400" s="28">
        <v>0</v>
      </c>
      <c r="I400" s="28">
        <v>3.75</v>
      </c>
      <c r="J400" s="28">
        <f t="shared" si="28"/>
        <v>18.649999999999999</v>
      </c>
      <c r="K400" s="28" t="s">
        <v>475</v>
      </c>
      <c r="L400" s="87">
        <v>18.649999999999999</v>
      </c>
    </row>
    <row r="401" spans="1:12">
      <c r="A401" s="27">
        <v>53</v>
      </c>
      <c r="B401" s="57">
        <v>200946028</v>
      </c>
      <c r="C401" s="60" t="s">
        <v>423</v>
      </c>
      <c r="D401" s="28">
        <v>5.2</v>
      </c>
      <c r="E401" s="28">
        <v>3.8</v>
      </c>
      <c r="F401" s="28">
        <v>5.7</v>
      </c>
      <c r="G401" s="28">
        <v>3.75</v>
      </c>
      <c r="H401" s="28">
        <v>0</v>
      </c>
      <c r="I401" s="28">
        <v>5.88</v>
      </c>
      <c r="J401" s="28">
        <f t="shared" si="28"/>
        <v>24.33</v>
      </c>
      <c r="K401" s="28" t="s">
        <v>475</v>
      </c>
      <c r="L401" s="87">
        <v>24.33</v>
      </c>
    </row>
    <row r="402" spans="1:12">
      <c r="A402" s="27">
        <v>54</v>
      </c>
      <c r="B402" s="57">
        <v>200946343</v>
      </c>
      <c r="C402" s="60" t="s">
        <v>425</v>
      </c>
      <c r="D402" s="28">
        <v>6.92</v>
      </c>
      <c r="E402" s="28">
        <v>5</v>
      </c>
      <c r="F402" s="28">
        <v>9</v>
      </c>
      <c r="G402" s="28">
        <v>5.0999999999999996</v>
      </c>
      <c r="H402" s="28">
        <v>6.9</v>
      </c>
      <c r="I402" s="28">
        <v>13.6</v>
      </c>
      <c r="J402" s="28">
        <f t="shared" si="28"/>
        <v>46.52</v>
      </c>
      <c r="K402" s="28">
        <v>14.5</v>
      </c>
      <c r="L402" s="87">
        <f>+K402+J402</f>
        <v>61.02</v>
      </c>
    </row>
    <row r="403" spans="1:12">
      <c r="A403" s="27">
        <v>55</v>
      </c>
      <c r="B403" s="57">
        <v>200980056</v>
      </c>
      <c r="C403" s="60" t="s">
        <v>424</v>
      </c>
      <c r="D403" s="28">
        <v>5.42</v>
      </c>
      <c r="E403" s="28">
        <v>5.2</v>
      </c>
      <c r="F403" s="28">
        <v>4.8</v>
      </c>
      <c r="G403" s="28">
        <v>0</v>
      </c>
      <c r="H403" s="28">
        <v>0</v>
      </c>
      <c r="I403" s="28">
        <v>5.03</v>
      </c>
      <c r="J403" s="28">
        <f t="shared" si="28"/>
        <v>20.450000000000003</v>
      </c>
      <c r="K403" s="28" t="s">
        <v>475</v>
      </c>
      <c r="L403" s="87">
        <v>20.45</v>
      </c>
    </row>
    <row r="404" spans="1:12">
      <c r="A404" s="29"/>
      <c r="B404" s="29"/>
      <c r="C404" s="30"/>
      <c r="D404" s="36"/>
      <c r="E404" s="36"/>
      <c r="F404" s="36"/>
      <c r="G404" s="36"/>
      <c r="H404" s="36"/>
      <c r="I404" s="36"/>
      <c r="J404" s="36"/>
      <c r="K404" s="36"/>
      <c r="L404" s="89"/>
    </row>
    <row r="405" spans="1:12">
      <c r="A405" s="29"/>
      <c r="B405" s="29"/>
      <c r="C405" s="30"/>
      <c r="D405" s="36"/>
      <c r="E405" s="36"/>
      <c r="F405" s="36"/>
      <c r="G405" s="36"/>
      <c r="H405" s="36"/>
      <c r="I405" s="36"/>
      <c r="J405" s="36"/>
      <c r="K405" s="36"/>
      <c r="L405" s="89"/>
    </row>
    <row r="406" spans="1:12" ht="17.25" thickBot="1">
      <c r="A406" s="29"/>
      <c r="B406" s="29"/>
      <c r="C406" s="30"/>
      <c r="D406" s="36"/>
      <c r="E406" s="36"/>
      <c r="F406" s="36"/>
      <c r="G406" s="36"/>
      <c r="H406" s="90"/>
      <c r="I406" s="90"/>
      <c r="J406" s="90"/>
      <c r="K406" s="7"/>
      <c r="L406" s="89"/>
    </row>
    <row r="407" spans="1:12">
      <c r="H407" s="101" t="s">
        <v>459</v>
      </c>
      <c r="I407" s="101"/>
      <c r="J407" s="101"/>
      <c r="L407" s="84"/>
    </row>
    <row r="408" spans="1:12">
      <c r="D408" s="36"/>
      <c r="H408" s="101" t="s">
        <v>430</v>
      </c>
      <c r="I408" s="101"/>
      <c r="J408" s="101"/>
      <c r="L408" s="84"/>
    </row>
    <row r="409" spans="1:12">
      <c r="D409" s="36"/>
      <c r="H409" s="101" t="s">
        <v>454</v>
      </c>
      <c r="I409" s="101"/>
      <c r="J409" s="101"/>
      <c r="L409" s="84"/>
    </row>
    <row r="421" spans="1:12" ht="17.25" thickBot="1">
      <c r="A421" s="84" t="s">
        <v>0</v>
      </c>
    </row>
    <row r="422" spans="1:12">
      <c r="A422" s="84" t="s">
        <v>1</v>
      </c>
      <c r="F422" s="4"/>
      <c r="G422" s="5"/>
      <c r="H422" s="6"/>
      <c r="I422" s="7"/>
    </row>
    <row r="423" spans="1:12">
      <c r="A423" s="13" t="s">
        <v>2</v>
      </c>
      <c r="B423" s="7"/>
      <c r="E423" s="7"/>
      <c r="F423" s="10"/>
      <c r="G423" s="11"/>
      <c r="H423" s="12"/>
      <c r="I423" s="7"/>
    </row>
    <row r="424" spans="1:12" ht="17.25" thickBot="1">
      <c r="A424" s="13" t="s">
        <v>3</v>
      </c>
      <c r="B424" s="7"/>
      <c r="E424" s="7"/>
      <c r="F424" s="10"/>
      <c r="G424" s="11"/>
      <c r="H424" s="12"/>
      <c r="I424" s="7"/>
    </row>
    <row r="425" spans="1:12" ht="17.25" thickBot="1">
      <c r="A425" s="96" t="s">
        <v>22</v>
      </c>
      <c r="B425" s="97"/>
      <c r="C425" s="98"/>
      <c r="E425" s="7"/>
      <c r="F425" s="17"/>
      <c r="G425" s="18"/>
      <c r="H425" s="19"/>
      <c r="I425" s="7"/>
    </row>
    <row r="426" spans="1:12">
      <c r="A426" s="13"/>
      <c r="B426" s="7"/>
      <c r="E426" s="7"/>
    </row>
    <row r="427" spans="1:12">
      <c r="A427" s="84" t="s">
        <v>91</v>
      </c>
      <c r="B427" s="7"/>
      <c r="C427" s="85" t="s">
        <v>300</v>
      </c>
      <c r="E427" s="7"/>
    </row>
    <row r="428" spans="1:12">
      <c r="A428" s="84" t="s">
        <v>4</v>
      </c>
      <c r="C428" s="85" t="s">
        <v>457</v>
      </c>
    </row>
    <row r="429" spans="1:12">
      <c r="A429" s="84" t="s">
        <v>5</v>
      </c>
      <c r="C429" s="85" t="s">
        <v>452</v>
      </c>
    </row>
    <row r="430" spans="1:12">
      <c r="A430" s="86"/>
      <c r="B430" s="86"/>
      <c r="C430" s="86"/>
      <c r="D430" s="86"/>
      <c r="E430" s="86"/>
      <c r="F430" s="86"/>
      <c r="G430" s="86"/>
      <c r="H430" s="86"/>
      <c r="I430" s="86"/>
      <c r="J430" s="86"/>
    </row>
    <row r="431" spans="1:12">
      <c r="A431" s="84"/>
      <c r="C431" s="22" t="s">
        <v>6</v>
      </c>
      <c r="D431" s="22" t="s">
        <v>435</v>
      </c>
      <c r="E431" s="22" t="s">
        <v>435</v>
      </c>
      <c r="F431" s="22" t="s">
        <v>435</v>
      </c>
      <c r="G431" s="22" t="s">
        <v>435</v>
      </c>
      <c r="H431" s="22" t="s">
        <v>435</v>
      </c>
      <c r="I431" s="22" t="s">
        <v>7</v>
      </c>
      <c r="J431" s="22" t="s">
        <v>8</v>
      </c>
      <c r="K431" s="22" t="s">
        <v>7</v>
      </c>
      <c r="L431" s="22" t="s">
        <v>9</v>
      </c>
    </row>
    <row r="432" spans="1:12">
      <c r="A432" s="22" t="s">
        <v>10</v>
      </c>
      <c r="B432" s="22" t="s">
        <v>11</v>
      </c>
      <c r="C432" s="22" t="s">
        <v>12</v>
      </c>
      <c r="D432" s="22" t="s">
        <v>13</v>
      </c>
      <c r="E432" s="22" t="s">
        <v>14</v>
      </c>
      <c r="F432" s="22" t="s">
        <v>15</v>
      </c>
      <c r="G432" s="22" t="s">
        <v>16</v>
      </c>
      <c r="H432" s="22" t="s">
        <v>17</v>
      </c>
      <c r="I432" s="22" t="s">
        <v>95</v>
      </c>
      <c r="J432" s="22" t="s">
        <v>18</v>
      </c>
      <c r="K432" s="22" t="s">
        <v>19</v>
      </c>
      <c r="L432" s="22" t="s">
        <v>20</v>
      </c>
    </row>
    <row r="433" spans="1:12">
      <c r="A433" s="27">
        <v>1</v>
      </c>
      <c r="B433" s="57">
        <v>200617648</v>
      </c>
      <c r="C433" s="58" t="s">
        <v>302</v>
      </c>
      <c r="D433" s="28">
        <v>8.86</v>
      </c>
      <c r="E433" s="28">
        <v>10.199999999999999</v>
      </c>
      <c r="F433" s="28">
        <v>9.1</v>
      </c>
      <c r="G433" s="28">
        <v>8.85</v>
      </c>
      <c r="H433" s="28">
        <v>6</v>
      </c>
      <c r="I433" s="28">
        <v>15.24</v>
      </c>
      <c r="J433" s="28">
        <f t="shared" ref="J433:J464" si="29">+I433+H433+G433+F433+E433+D433</f>
        <v>58.25</v>
      </c>
      <c r="K433" s="28">
        <v>15</v>
      </c>
      <c r="L433" s="87">
        <f>+K433+J433</f>
        <v>73.25</v>
      </c>
    </row>
    <row r="434" spans="1:12">
      <c r="A434" s="88">
        <v>2</v>
      </c>
      <c r="B434" s="57">
        <v>200741790</v>
      </c>
      <c r="C434" s="58" t="s">
        <v>303</v>
      </c>
      <c r="D434" s="28">
        <v>7.84</v>
      </c>
      <c r="E434" s="28">
        <v>8.1</v>
      </c>
      <c r="F434" s="28">
        <v>8.1</v>
      </c>
      <c r="G434" s="28">
        <v>4.5</v>
      </c>
      <c r="H434" s="28">
        <v>0</v>
      </c>
      <c r="I434" s="28">
        <v>6.51</v>
      </c>
      <c r="J434" s="28">
        <f t="shared" si="29"/>
        <v>35.049999999999997</v>
      </c>
      <c r="K434" s="28" t="s">
        <v>475</v>
      </c>
      <c r="L434" s="87">
        <v>35.049999999999997</v>
      </c>
    </row>
    <row r="435" spans="1:12">
      <c r="A435" s="27">
        <v>3</v>
      </c>
      <c r="B435" s="57">
        <v>200741812</v>
      </c>
      <c r="C435" s="58" t="s">
        <v>304</v>
      </c>
      <c r="D435" s="28">
        <v>7.5</v>
      </c>
      <c r="E435" s="28">
        <v>7.2</v>
      </c>
      <c r="F435" s="28">
        <v>8.6999999999999993</v>
      </c>
      <c r="G435" s="28">
        <v>3.6</v>
      </c>
      <c r="H435" s="28">
        <v>0</v>
      </c>
      <c r="I435" s="28">
        <v>5.91</v>
      </c>
      <c r="J435" s="28">
        <f t="shared" si="29"/>
        <v>32.909999999999997</v>
      </c>
      <c r="K435" s="28" t="s">
        <v>475</v>
      </c>
      <c r="L435" s="87">
        <v>32.909999999999997</v>
      </c>
    </row>
    <row r="436" spans="1:12">
      <c r="A436" s="88">
        <v>4</v>
      </c>
      <c r="B436" s="57">
        <v>200742802</v>
      </c>
      <c r="C436" s="58" t="s">
        <v>307</v>
      </c>
      <c r="D436" s="28">
        <v>7.8</v>
      </c>
      <c r="E436" s="28">
        <v>8.4</v>
      </c>
      <c r="F436" s="28">
        <v>7.2</v>
      </c>
      <c r="G436" s="28">
        <v>2.4</v>
      </c>
      <c r="H436" s="28">
        <v>0</v>
      </c>
      <c r="I436" s="28">
        <v>6.66</v>
      </c>
      <c r="J436" s="28">
        <f t="shared" si="29"/>
        <v>32.46</v>
      </c>
      <c r="K436" s="28" t="s">
        <v>475</v>
      </c>
      <c r="L436" s="87">
        <v>32.46</v>
      </c>
    </row>
    <row r="437" spans="1:12">
      <c r="A437" s="88">
        <v>5</v>
      </c>
      <c r="B437" s="57">
        <v>200821585</v>
      </c>
      <c r="C437" s="60" t="s">
        <v>308</v>
      </c>
      <c r="D437" s="28">
        <v>4.54</v>
      </c>
      <c r="E437" s="28">
        <v>4.05</v>
      </c>
      <c r="F437" s="28">
        <v>5.7</v>
      </c>
      <c r="G437" s="28">
        <v>3.45</v>
      </c>
      <c r="H437" s="28">
        <v>2.7</v>
      </c>
      <c r="I437" s="28">
        <v>9.41</v>
      </c>
      <c r="J437" s="28">
        <f t="shared" si="29"/>
        <v>29.849999999999998</v>
      </c>
      <c r="K437" s="28" t="s">
        <v>475</v>
      </c>
      <c r="L437" s="87">
        <v>29.85</v>
      </c>
    </row>
    <row r="438" spans="1:12">
      <c r="A438" s="88">
        <v>6</v>
      </c>
      <c r="B438" s="57">
        <v>200840049</v>
      </c>
      <c r="C438" s="58" t="s">
        <v>309</v>
      </c>
      <c r="D438" s="28">
        <v>9</v>
      </c>
      <c r="E438" s="28">
        <v>10.5</v>
      </c>
      <c r="F438" s="28">
        <v>10.5</v>
      </c>
      <c r="G438" s="28">
        <v>7.05</v>
      </c>
      <c r="H438" s="28">
        <v>10.050000000000001</v>
      </c>
      <c r="I438" s="28">
        <v>15.41</v>
      </c>
      <c r="J438" s="28">
        <f t="shared" si="29"/>
        <v>62.51</v>
      </c>
      <c r="K438" s="28">
        <v>12</v>
      </c>
      <c r="L438" s="87">
        <f>+K438+J438</f>
        <v>74.509999999999991</v>
      </c>
    </row>
    <row r="439" spans="1:12">
      <c r="A439" s="88">
        <v>7</v>
      </c>
      <c r="B439" s="57">
        <v>200840225</v>
      </c>
      <c r="C439" s="60" t="s">
        <v>312</v>
      </c>
      <c r="D439" s="28">
        <v>9.1</v>
      </c>
      <c r="E439" s="28">
        <v>7.65</v>
      </c>
      <c r="F439" s="28">
        <v>8.4</v>
      </c>
      <c r="G439" s="28">
        <v>5.4</v>
      </c>
      <c r="H439" s="28">
        <v>7.8</v>
      </c>
      <c r="I439" s="28">
        <v>12.58</v>
      </c>
      <c r="J439" s="28">
        <f t="shared" si="29"/>
        <v>50.93</v>
      </c>
      <c r="K439" s="28">
        <v>14.5</v>
      </c>
      <c r="L439" s="87">
        <f>+K439+J439</f>
        <v>65.430000000000007</v>
      </c>
    </row>
    <row r="440" spans="1:12">
      <c r="A440" s="88">
        <v>8</v>
      </c>
      <c r="B440" s="57">
        <v>200841793</v>
      </c>
      <c r="C440" s="58" t="s">
        <v>313</v>
      </c>
      <c r="D440" s="28">
        <v>7.4</v>
      </c>
      <c r="E440" s="28">
        <v>6.9</v>
      </c>
      <c r="F440" s="28">
        <v>6.9</v>
      </c>
      <c r="G440" s="28">
        <v>0</v>
      </c>
      <c r="H440" s="28">
        <v>0</v>
      </c>
      <c r="I440" s="28">
        <v>5.97</v>
      </c>
      <c r="J440" s="28">
        <f t="shared" si="29"/>
        <v>27.17</v>
      </c>
      <c r="K440" s="28" t="s">
        <v>475</v>
      </c>
      <c r="L440" s="87">
        <v>27.17</v>
      </c>
    </row>
    <row r="441" spans="1:12">
      <c r="A441" s="88">
        <v>9</v>
      </c>
      <c r="B441" s="57">
        <v>200842036</v>
      </c>
      <c r="C441" s="60" t="s">
        <v>314</v>
      </c>
      <c r="D441" s="28">
        <v>8.1999999999999993</v>
      </c>
      <c r="E441" s="28">
        <v>8.1</v>
      </c>
      <c r="F441" s="28">
        <v>7.5</v>
      </c>
      <c r="G441" s="28">
        <v>0</v>
      </c>
      <c r="H441" s="28">
        <v>0</v>
      </c>
      <c r="I441" s="28">
        <v>6.41</v>
      </c>
      <c r="J441" s="28">
        <f t="shared" si="29"/>
        <v>30.209999999999997</v>
      </c>
      <c r="K441" s="28" t="s">
        <v>475</v>
      </c>
      <c r="L441" s="87">
        <v>30.21</v>
      </c>
    </row>
    <row r="442" spans="1:12">
      <c r="A442" s="88">
        <v>10</v>
      </c>
      <c r="B442" s="57">
        <v>200842047</v>
      </c>
      <c r="C442" s="58" t="s">
        <v>315</v>
      </c>
      <c r="D442" s="28">
        <v>6.6</v>
      </c>
      <c r="E442" s="28">
        <v>6.3</v>
      </c>
      <c r="F442" s="28">
        <v>7.2</v>
      </c>
      <c r="G442" s="28">
        <v>7.35</v>
      </c>
      <c r="H442" s="28">
        <v>5.7</v>
      </c>
      <c r="I442" s="28">
        <v>12.24</v>
      </c>
      <c r="J442" s="28">
        <f t="shared" si="29"/>
        <v>45.39</v>
      </c>
      <c r="K442" s="28">
        <v>12</v>
      </c>
      <c r="L442" s="87">
        <f>+K442+J442</f>
        <v>57.39</v>
      </c>
    </row>
    <row r="443" spans="1:12">
      <c r="A443" s="88">
        <v>11</v>
      </c>
      <c r="B443" s="57">
        <v>200842050</v>
      </c>
      <c r="C443" s="58" t="s">
        <v>316</v>
      </c>
      <c r="D443" s="28">
        <v>7.8</v>
      </c>
      <c r="E443" s="28">
        <v>10.35</v>
      </c>
      <c r="F443" s="28">
        <v>8.4</v>
      </c>
      <c r="G443" s="28">
        <v>0</v>
      </c>
      <c r="H443" s="28">
        <v>0</v>
      </c>
      <c r="I443" s="28">
        <v>8.19</v>
      </c>
      <c r="J443" s="28">
        <f t="shared" si="29"/>
        <v>34.739999999999995</v>
      </c>
      <c r="K443" s="28" t="s">
        <v>475</v>
      </c>
      <c r="L443" s="87">
        <v>34.74</v>
      </c>
    </row>
    <row r="444" spans="1:12">
      <c r="A444" s="88">
        <v>12</v>
      </c>
      <c r="B444" s="57">
        <v>200842072</v>
      </c>
      <c r="C444" s="58" t="s">
        <v>319</v>
      </c>
      <c r="D444" s="28">
        <v>9.06</v>
      </c>
      <c r="E444" s="28">
        <v>10.050000000000001</v>
      </c>
      <c r="F444" s="28">
        <v>9</v>
      </c>
      <c r="G444" s="28">
        <v>8.6999999999999993</v>
      </c>
      <c r="H444" s="28">
        <v>9.4499999999999993</v>
      </c>
      <c r="I444" s="28">
        <v>16.22</v>
      </c>
      <c r="J444" s="28">
        <f t="shared" si="29"/>
        <v>62.480000000000004</v>
      </c>
      <c r="K444" s="28">
        <v>15</v>
      </c>
      <c r="L444" s="87">
        <f>+K444+J444</f>
        <v>77.48</v>
      </c>
    </row>
    <row r="445" spans="1:12">
      <c r="A445" s="88">
        <v>13</v>
      </c>
      <c r="B445" s="57">
        <v>200842088</v>
      </c>
      <c r="C445" s="60" t="s">
        <v>321</v>
      </c>
      <c r="D445" s="28">
        <v>6.46</v>
      </c>
      <c r="E445" s="28">
        <v>5.55</v>
      </c>
      <c r="F445" s="28">
        <v>4.5</v>
      </c>
      <c r="G445" s="28">
        <v>2.4</v>
      </c>
      <c r="H445" s="28">
        <v>5.0999999999999996</v>
      </c>
      <c r="I445" s="28">
        <v>12.21</v>
      </c>
      <c r="J445" s="28">
        <f t="shared" si="29"/>
        <v>36.22</v>
      </c>
      <c r="K445" s="28" t="s">
        <v>475</v>
      </c>
      <c r="L445" s="87">
        <v>36.22</v>
      </c>
    </row>
    <row r="446" spans="1:12">
      <c r="A446" s="88">
        <v>14</v>
      </c>
      <c r="B446" s="57">
        <v>200842091</v>
      </c>
      <c r="C446" s="60" t="s">
        <v>322</v>
      </c>
      <c r="D446" s="28">
        <v>7.18</v>
      </c>
      <c r="E446" s="28">
        <v>6.75</v>
      </c>
      <c r="F446" s="28">
        <v>6.6</v>
      </c>
      <c r="G446" s="28">
        <v>2.7</v>
      </c>
      <c r="H446" s="28">
        <v>0</v>
      </c>
      <c r="I446" s="28">
        <v>5.89</v>
      </c>
      <c r="J446" s="28">
        <f t="shared" si="29"/>
        <v>29.119999999999997</v>
      </c>
      <c r="K446" s="28" t="s">
        <v>475</v>
      </c>
      <c r="L446" s="87">
        <v>29.12</v>
      </c>
    </row>
    <row r="447" spans="1:12">
      <c r="A447" s="27">
        <v>15</v>
      </c>
      <c r="B447" s="57">
        <v>200842106</v>
      </c>
      <c r="C447" s="58" t="s">
        <v>323</v>
      </c>
      <c r="D447" s="28">
        <v>2.6</v>
      </c>
      <c r="E447" s="28">
        <v>6.45</v>
      </c>
      <c r="F447" s="28">
        <v>2.4</v>
      </c>
      <c r="G447" s="28">
        <v>1.95</v>
      </c>
      <c r="H447" s="28">
        <v>0</v>
      </c>
      <c r="I447" s="28">
        <v>2.6</v>
      </c>
      <c r="J447" s="28">
        <f t="shared" si="29"/>
        <v>15.999999999999998</v>
      </c>
      <c r="K447" s="28" t="s">
        <v>475</v>
      </c>
      <c r="L447" s="87">
        <v>16</v>
      </c>
    </row>
    <row r="448" spans="1:12">
      <c r="A448" s="27">
        <v>16</v>
      </c>
      <c r="B448" s="57">
        <v>200842108</v>
      </c>
      <c r="C448" s="58" t="s">
        <v>324</v>
      </c>
      <c r="D448" s="28">
        <v>9</v>
      </c>
      <c r="E448" s="28">
        <v>5.7</v>
      </c>
      <c r="F448" s="28">
        <v>7.5</v>
      </c>
      <c r="G448" s="28">
        <v>6</v>
      </c>
      <c r="H448" s="28">
        <v>8.1</v>
      </c>
      <c r="I448" s="28">
        <v>7.09</v>
      </c>
      <c r="J448" s="28">
        <f t="shared" si="29"/>
        <v>43.39</v>
      </c>
      <c r="K448" s="28" t="s">
        <v>476</v>
      </c>
      <c r="L448" s="87">
        <v>43.39</v>
      </c>
    </row>
    <row r="449" spans="1:12">
      <c r="A449" s="27">
        <v>17</v>
      </c>
      <c r="B449" s="57">
        <v>200842128</v>
      </c>
      <c r="C449" s="58" t="s">
        <v>325</v>
      </c>
      <c r="D449" s="28">
        <v>8.8000000000000007</v>
      </c>
      <c r="E449" s="28">
        <v>8.5500000000000007</v>
      </c>
      <c r="F449" s="28">
        <v>5.55</v>
      </c>
      <c r="G449" s="28">
        <v>7.2</v>
      </c>
      <c r="H449" s="28">
        <v>6.15</v>
      </c>
      <c r="I449" s="28">
        <v>11.63</v>
      </c>
      <c r="J449" s="28">
        <f t="shared" si="29"/>
        <v>47.879999999999995</v>
      </c>
      <c r="K449" s="28">
        <v>9</v>
      </c>
      <c r="L449" s="87">
        <f>+K449+J449</f>
        <v>56.879999999999995</v>
      </c>
    </row>
    <row r="450" spans="1:12">
      <c r="A450" s="27">
        <v>18</v>
      </c>
      <c r="B450" s="57">
        <v>200842131</v>
      </c>
      <c r="C450" s="58" t="s">
        <v>326</v>
      </c>
      <c r="D450" s="28">
        <v>9.6</v>
      </c>
      <c r="E450" s="28">
        <v>10.35</v>
      </c>
      <c r="F450" s="28">
        <v>8.6999999999999993</v>
      </c>
      <c r="G450" s="28">
        <v>6.9</v>
      </c>
      <c r="H450" s="28">
        <v>9.15</v>
      </c>
      <c r="I450" s="28">
        <v>15.14</v>
      </c>
      <c r="J450" s="28">
        <f t="shared" si="29"/>
        <v>59.84</v>
      </c>
      <c r="K450" s="28">
        <v>13</v>
      </c>
      <c r="L450" s="87">
        <f>+K450+J450</f>
        <v>72.84</v>
      </c>
    </row>
    <row r="451" spans="1:12">
      <c r="A451" s="27">
        <v>19</v>
      </c>
      <c r="B451" s="57">
        <v>200842133</v>
      </c>
      <c r="C451" s="58" t="s">
        <v>327</v>
      </c>
      <c r="D451" s="28">
        <v>5.64</v>
      </c>
      <c r="E451" s="28">
        <v>0</v>
      </c>
      <c r="F451" s="28">
        <v>0</v>
      </c>
      <c r="G451" s="28">
        <v>0</v>
      </c>
      <c r="H451" s="28">
        <v>0</v>
      </c>
      <c r="I451" s="28">
        <v>1.3</v>
      </c>
      <c r="J451" s="28">
        <f t="shared" si="29"/>
        <v>6.9399999999999995</v>
      </c>
      <c r="K451" s="28" t="s">
        <v>475</v>
      </c>
      <c r="L451" s="87">
        <v>6.94</v>
      </c>
    </row>
    <row r="452" spans="1:12">
      <c r="A452" s="27">
        <v>20</v>
      </c>
      <c r="B452" s="57">
        <v>200842211</v>
      </c>
      <c r="C452" s="58" t="s">
        <v>328</v>
      </c>
      <c r="D452" s="28">
        <v>9.4</v>
      </c>
      <c r="E452" s="28">
        <v>7.2</v>
      </c>
      <c r="F452" s="28">
        <v>7.9</v>
      </c>
      <c r="G452" s="28">
        <v>7.2</v>
      </c>
      <c r="H452" s="28">
        <v>9</v>
      </c>
      <c r="I452" s="28">
        <v>10.89</v>
      </c>
      <c r="J452" s="28">
        <f t="shared" si="29"/>
        <v>51.59</v>
      </c>
      <c r="K452" s="28">
        <v>14.5</v>
      </c>
      <c r="L452" s="87">
        <f>+K452+J452</f>
        <v>66.09</v>
      </c>
    </row>
    <row r="453" spans="1:12">
      <c r="A453" s="27">
        <v>21</v>
      </c>
      <c r="B453" s="57">
        <v>200843352</v>
      </c>
      <c r="C453" s="60" t="s">
        <v>330</v>
      </c>
      <c r="D453" s="28">
        <v>6.96</v>
      </c>
      <c r="E453" s="28">
        <v>4.95</v>
      </c>
      <c r="F453" s="28">
        <v>6.3</v>
      </c>
      <c r="G453" s="28">
        <v>5.55</v>
      </c>
      <c r="H453" s="28">
        <v>7.95</v>
      </c>
      <c r="I453" s="28">
        <v>13.13</v>
      </c>
      <c r="J453" s="28">
        <f t="shared" si="29"/>
        <v>44.84</v>
      </c>
      <c r="K453" s="28">
        <v>7.5</v>
      </c>
      <c r="L453" s="87">
        <f>+K453+J453</f>
        <v>52.34</v>
      </c>
    </row>
    <row r="454" spans="1:12">
      <c r="A454" s="27">
        <v>22</v>
      </c>
      <c r="B454" s="57">
        <v>200843401</v>
      </c>
      <c r="C454" s="58" t="s">
        <v>331</v>
      </c>
      <c r="D454" s="28">
        <v>3.72</v>
      </c>
      <c r="E454" s="28">
        <v>5.25</v>
      </c>
      <c r="F454" s="28">
        <v>4.8</v>
      </c>
      <c r="G454" s="28">
        <v>3.15</v>
      </c>
      <c r="H454" s="28">
        <v>5.7</v>
      </c>
      <c r="I454" s="28">
        <v>12.11</v>
      </c>
      <c r="J454" s="28">
        <f t="shared" si="29"/>
        <v>34.729999999999997</v>
      </c>
      <c r="K454" s="28" t="s">
        <v>475</v>
      </c>
      <c r="L454" s="87">
        <v>34.729999999999997</v>
      </c>
    </row>
    <row r="455" spans="1:12">
      <c r="A455" s="27">
        <v>23</v>
      </c>
      <c r="B455" s="57">
        <v>200844524</v>
      </c>
      <c r="C455" s="58" t="s">
        <v>333</v>
      </c>
      <c r="D455" s="28">
        <v>7</v>
      </c>
      <c r="E455" s="28">
        <v>7.05</v>
      </c>
      <c r="F455" s="28">
        <v>8.4</v>
      </c>
      <c r="G455" s="28">
        <v>5.7</v>
      </c>
      <c r="H455" s="28">
        <v>7.2</v>
      </c>
      <c r="I455" s="28">
        <v>12.94</v>
      </c>
      <c r="J455" s="28">
        <f t="shared" si="29"/>
        <v>48.29</v>
      </c>
      <c r="K455" s="28">
        <v>13</v>
      </c>
      <c r="L455" s="87">
        <f>+K455+J455</f>
        <v>61.29</v>
      </c>
    </row>
    <row r="456" spans="1:12">
      <c r="A456" s="27">
        <v>24</v>
      </c>
      <c r="B456" s="57">
        <v>200940329</v>
      </c>
      <c r="C456" s="58" t="s">
        <v>334</v>
      </c>
      <c r="D456" s="28">
        <v>6.9</v>
      </c>
      <c r="E456" s="28">
        <v>8.6999999999999993</v>
      </c>
      <c r="F456" s="28">
        <v>8.4</v>
      </c>
      <c r="G456" s="28">
        <v>6</v>
      </c>
      <c r="H456" s="28">
        <v>8.6999999999999993</v>
      </c>
      <c r="I456" s="28">
        <v>13.56</v>
      </c>
      <c r="J456" s="28">
        <f t="shared" si="29"/>
        <v>52.26</v>
      </c>
      <c r="K456" s="28">
        <v>12</v>
      </c>
      <c r="L456" s="87">
        <f>+K456+J456</f>
        <v>64.259999999999991</v>
      </c>
    </row>
    <row r="457" spans="1:12">
      <c r="A457" s="27">
        <v>25</v>
      </c>
      <c r="B457" s="57">
        <v>200940434</v>
      </c>
      <c r="C457" s="60" t="s">
        <v>335</v>
      </c>
      <c r="D457" s="28">
        <v>10.92</v>
      </c>
      <c r="E457" s="28">
        <v>9</v>
      </c>
      <c r="F457" s="28">
        <v>7.5</v>
      </c>
      <c r="G457" s="28">
        <v>6.3</v>
      </c>
      <c r="H457" s="28">
        <v>8.6999999999999993</v>
      </c>
      <c r="I457" s="28">
        <v>14.82</v>
      </c>
      <c r="J457" s="28">
        <f t="shared" si="29"/>
        <v>57.24</v>
      </c>
      <c r="K457" s="28">
        <v>14</v>
      </c>
      <c r="L457" s="87">
        <f>+K457+J457</f>
        <v>71.240000000000009</v>
      </c>
    </row>
    <row r="458" spans="1:12">
      <c r="A458" s="27">
        <v>26</v>
      </c>
      <c r="B458" s="57">
        <v>200940498</v>
      </c>
      <c r="C458" s="58" t="s">
        <v>336</v>
      </c>
      <c r="D458" s="28">
        <v>9.56</v>
      </c>
      <c r="E458" s="28">
        <v>6</v>
      </c>
      <c r="F458" s="28">
        <v>6.6</v>
      </c>
      <c r="G458" s="28">
        <v>7.2</v>
      </c>
      <c r="H458" s="28">
        <v>9.15</v>
      </c>
      <c r="I458" s="28">
        <v>13.86</v>
      </c>
      <c r="J458" s="28">
        <f t="shared" si="29"/>
        <v>52.37</v>
      </c>
      <c r="K458" s="28">
        <v>12.5</v>
      </c>
      <c r="L458" s="87">
        <f>+K458+J458</f>
        <v>64.87</v>
      </c>
    </row>
    <row r="459" spans="1:12">
      <c r="A459" s="27">
        <v>27</v>
      </c>
      <c r="B459" s="57">
        <v>200940524</v>
      </c>
      <c r="C459" s="60" t="s">
        <v>337</v>
      </c>
      <c r="D459" s="28">
        <v>8.8000000000000007</v>
      </c>
      <c r="E459" s="28">
        <v>7.5</v>
      </c>
      <c r="F459" s="28">
        <v>8.1</v>
      </c>
      <c r="G459" s="28">
        <v>8.1</v>
      </c>
      <c r="H459" s="28">
        <v>10.199999999999999</v>
      </c>
      <c r="I459" s="28">
        <v>14.72</v>
      </c>
      <c r="J459" s="28">
        <f t="shared" si="29"/>
        <v>57.42</v>
      </c>
      <c r="K459" s="28">
        <v>13</v>
      </c>
      <c r="L459" s="87">
        <f>+K459+J459</f>
        <v>70.42</v>
      </c>
    </row>
    <row r="460" spans="1:12">
      <c r="A460" s="27">
        <v>28</v>
      </c>
      <c r="B460" s="57">
        <v>200940708</v>
      </c>
      <c r="C460" s="58" t="s">
        <v>338</v>
      </c>
      <c r="D460" s="28">
        <v>6.12</v>
      </c>
      <c r="E460" s="28">
        <v>4.95</v>
      </c>
      <c r="F460" s="28">
        <v>5.4</v>
      </c>
      <c r="G460" s="28">
        <v>0</v>
      </c>
      <c r="H460" s="28">
        <v>0</v>
      </c>
      <c r="I460" s="28">
        <v>6.06</v>
      </c>
      <c r="J460" s="28">
        <f t="shared" si="29"/>
        <v>22.53</v>
      </c>
      <c r="K460" s="28" t="s">
        <v>475</v>
      </c>
      <c r="L460" s="87">
        <v>22.53</v>
      </c>
    </row>
    <row r="461" spans="1:12">
      <c r="A461" s="27">
        <v>29</v>
      </c>
      <c r="B461" s="57">
        <v>200941405</v>
      </c>
      <c r="C461" s="58" t="s">
        <v>339</v>
      </c>
      <c r="D461" s="28">
        <v>7.3</v>
      </c>
      <c r="E461" s="28">
        <v>7.65</v>
      </c>
      <c r="F461" s="28">
        <v>7.5</v>
      </c>
      <c r="G461" s="28">
        <v>3.45</v>
      </c>
      <c r="H461" s="28">
        <v>7.65</v>
      </c>
      <c r="I461" s="28">
        <v>13.88</v>
      </c>
      <c r="J461" s="28">
        <f t="shared" si="29"/>
        <v>47.43</v>
      </c>
      <c r="K461" s="28">
        <v>12</v>
      </c>
      <c r="L461" s="87">
        <f>+K461+J461</f>
        <v>59.43</v>
      </c>
    </row>
    <row r="462" spans="1:12">
      <c r="A462" s="27">
        <v>30</v>
      </c>
      <c r="B462" s="57">
        <v>200941695</v>
      </c>
      <c r="C462" s="60" t="s">
        <v>340</v>
      </c>
      <c r="D462" s="28">
        <v>9.14</v>
      </c>
      <c r="E462" s="28">
        <v>8.5500000000000007</v>
      </c>
      <c r="F462" s="28">
        <v>6</v>
      </c>
      <c r="G462" s="28">
        <v>4.95</v>
      </c>
      <c r="H462" s="28">
        <v>7.65</v>
      </c>
      <c r="I462" s="28">
        <v>13.28</v>
      </c>
      <c r="J462" s="28">
        <f t="shared" si="29"/>
        <v>49.57</v>
      </c>
      <c r="K462" s="28">
        <v>13</v>
      </c>
      <c r="L462" s="87">
        <f>+K462+J462</f>
        <v>62.57</v>
      </c>
    </row>
    <row r="463" spans="1:12">
      <c r="A463" s="27">
        <v>31</v>
      </c>
      <c r="B463" s="57">
        <v>200942683</v>
      </c>
      <c r="C463" s="60" t="s">
        <v>341</v>
      </c>
      <c r="D463" s="28">
        <v>8.3800000000000008</v>
      </c>
      <c r="E463" s="28">
        <v>8.5500000000000007</v>
      </c>
      <c r="F463" s="28">
        <v>9.9</v>
      </c>
      <c r="G463" s="28">
        <v>6.9</v>
      </c>
      <c r="H463" s="28">
        <v>9.4499999999999993</v>
      </c>
      <c r="I463" s="28">
        <v>15.91</v>
      </c>
      <c r="J463" s="28">
        <f t="shared" si="29"/>
        <v>59.089999999999996</v>
      </c>
      <c r="K463" s="28">
        <v>13.5</v>
      </c>
      <c r="L463" s="87">
        <f>+K463+J463</f>
        <v>72.59</v>
      </c>
    </row>
    <row r="464" spans="1:12">
      <c r="A464" s="27">
        <v>32</v>
      </c>
      <c r="B464" s="57">
        <v>200943123</v>
      </c>
      <c r="C464" s="58" t="s">
        <v>342</v>
      </c>
      <c r="D464" s="28">
        <v>7.06</v>
      </c>
      <c r="E464" s="28">
        <v>7.65</v>
      </c>
      <c r="F464" s="28">
        <v>6.6</v>
      </c>
      <c r="G464" s="28">
        <v>5.0999999999999996</v>
      </c>
      <c r="H464" s="28">
        <v>0</v>
      </c>
      <c r="I464" s="28">
        <v>7.05</v>
      </c>
      <c r="J464" s="28">
        <f t="shared" si="29"/>
        <v>33.46</v>
      </c>
      <c r="K464" s="28" t="s">
        <v>475</v>
      </c>
      <c r="L464" s="87">
        <v>33.46</v>
      </c>
    </row>
    <row r="465" spans="1:12">
      <c r="A465" s="27">
        <v>33</v>
      </c>
      <c r="B465" s="57">
        <v>200943127</v>
      </c>
      <c r="C465" s="60" t="s">
        <v>343</v>
      </c>
      <c r="D465" s="28">
        <v>8.1999999999999993</v>
      </c>
      <c r="E465" s="28">
        <v>6.9</v>
      </c>
      <c r="F465" s="28">
        <v>8.4</v>
      </c>
      <c r="G465" s="28">
        <v>6.45</v>
      </c>
      <c r="H465" s="28">
        <v>9.15</v>
      </c>
      <c r="I465" s="28">
        <v>8.08</v>
      </c>
      <c r="J465" s="28">
        <f t="shared" ref="J465:J496" si="30">+I465+H465+G465+F465+E465+D465</f>
        <v>47.179999999999993</v>
      </c>
      <c r="K465" s="28">
        <v>11.5</v>
      </c>
      <c r="L465" s="87">
        <f>+K465+J465</f>
        <v>58.679999999999993</v>
      </c>
    </row>
    <row r="466" spans="1:12">
      <c r="A466" s="27">
        <v>34</v>
      </c>
      <c r="B466" s="57">
        <v>200943365</v>
      </c>
      <c r="C466" s="58" t="s">
        <v>344</v>
      </c>
      <c r="D466" s="28">
        <v>5.92</v>
      </c>
      <c r="E466" s="28">
        <v>6.75</v>
      </c>
      <c r="F466" s="28">
        <v>8.4</v>
      </c>
      <c r="G466" s="28">
        <v>4.2</v>
      </c>
      <c r="H466" s="28">
        <v>0</v>
      </c>
      <c r="I466" s="28">
        <v>6.35</v>
      </c>
      <c r="J466" s="28">
        <f t="shared" si="30"/>
        <v>31.620000000000005</v>
      </c>
      <c r="K466" s="28" t="s">
        <v>475</v>
      </c>
      <c r="L466" s="87">
        <v>31.62</v>
      </c>
    </row>
    <row r="467" spans="1:12">
      <c r="A467" s="27">
        <v>35</v>
      </c>
      <c r="B467" s="57">
        <v>200943369</v>
      </c>
      <c r="C467" s="58" t="s">
        <v>345</v>
      </c>
      <c r="D467" s="28">
        <v>6.42</v>
      </c>
      <c r="E467" s="28">
        <v>6</v>
      </c>
      <c r="F467" s="28">
        <v>5.7</v>
      </c>
      <c r="G467" s="28">
        <v>5.25</v>
      </c>
      <c r="H467" s="28">
        <v>9.15</v>
      </c>
      <c r="I467" s="28">
        <v>6.56</v>
      </c>
      <c r="J467" s="28">
        <f t="shared" si="30"/>
        <v>39.08</v>
      </c>
      <c r="K467" s="28" t="s">
        <v>475</v>
      </c>
      <c r="L467" s="87">
        <v>39.08</v>
      </c>
    </row>
    <row r="468" spans="1:12">
      <c r="A468" s="27">
        <v>36</v>
      </c>
      <c r="B468" s="57">
        <v>200943628</v>
      </c>
      <c r="C468" s="58" t="s">
        <v>346</v>
      </c>
      <c r="D468" s="28">
        <v>6.3</v>
      </c>
      <c r="E468" s="28">
        <v>8.25</v>
      </c>
      <c r="F468" s="28">
        <v>8.1</v>
      </c>
      <c r="G468" s="28">
        <v>4.5</v>
      </c>
      <c r="H468" s="28">
        <v>5.85</v>
      </c>
      <c r="I468" s="28">
        <v>12.45</v>
      </c>
      <c r="J468" s="28">
        <f t="shared" si="30"/>
        <v>45.449999999999996</v>
      </c>
      <c r="K468" s="28">
        <v>7.5</v>
      </c>
      <c r="L468" s="87">
        <f>+K468+J468</f>
        <v>52.949999999999996</v>
      </c>
    </row>
    <row r="469" spans="1:12">
      <c r="A469" s="27">
        <v>37</v>
      </c>
      <c r="B469" s="57">
        <v>200943630</v>
      </c>
      <c r="C469" s="58" t="s">
        <v>347</v>
      </c>
      <c r="D469" s="28">
        <v>4.8</v>
      </c>
      <c r="E469" s="28">
        <v>4.2</v>
      </c>
      <c r="F469" s="28">
        <v>5.7</v>
      </c>
      <c r="G469" s="28">
        <v>1.8</v>
      </c>
      <c r="H469" s="28">
        <v>0</v>
      </c>
      <c r="I469" s="28">
        <v>6.14</v>
      </c>
      <c r="J469" s="28">
        <f t="shared" si="30"/>
        <v>22.64</v>
      </c>
      <c r="K469" s="28" t="s">
        <v>475</v>
      </c>
      <c r="L469" s="87">
        <v>22.64</v>
      </c>
    </row>
    <row r="470" spans="1:12">
      <c r="A470" s="27">
        <v>38</v>
      </c>
      <c r="B470" s="57">
        <v>200943634</v>
      </c>
      <c r="C470" s="58" t="s">
        <v>348</v>
      </c>
      <c r="D470" s="28">
        <v>2.84</v>
      </c>
      <c r="E470" s="28">
        <v>4.6500000000000004</v>
      </c>
      <c r="F470" s="28">
        <v>5.4</v>
      </c>
      <c r="G470" s="28">
        <v>2.4</v>
      </c>
      <c r="H470" s="28">
        <v>0</v>
      </c>
      <c r="I470" s="28">
        <v>4.8600000000000003</v>
      </c>
      <c r="J470" s="28">
        <f t="shared" si="30"/>
        <v>20.150000000000002</v>
      </c>
      <c r="K470" s="28" t="s">
        <v>475</v>
      </c>
      <c r="L470" s="87">
        <v>20.149999999999999</v>
      </c>
    </row>
    <row r="471" spans="1:12">
      <c r="A471" s="27">
        <v>39</v>
      </c>
      <c r="B471" s="57">
        <v>200943637</v>
      </c>
      <c r="C471" s="58" t="s">
        <v>349</v>
      </c>
      <c r="D471" s="28">
        <v>8</v>
      </c>
      <c r="E471" s="28">
        <v>11.25</v>
      </c>
      <c r="F471" s="28">
        <v>8.6999999999999993</v>
      </c>
      <c r="G471" s="28">
        <v>9.9</v>
      </c>
      <c r="H471" s="28">
        <v>8.85</v>
      </c>
      <c r="I471" s="28">
        <v>13.18</v>
      </c>
      <c r="J471" s="28">
        <f t="shared" si="30"/>
        <v>59.879999999999995</v>
      </c>
      <c r="K471" s="28">
        <v>13</v>
      </c>
      <c r="L471" s="87">
        <f>+K471+J471</f>
        <v>72.88</v>
      </c>
    </row>
    <row r="472" spans="1:12">
      <c r="A472" s="27">
        <v>40</v>
      </c>
      <c r="B472" s="57">
        <v>200943640</v>
      </c>
      <c r="C472" s="58" t="s">
        <v>350</v>
      </c>
      <c r="D472" s="28">
        <v>3.3</v>
      </c>
      <c r="E472" s="28">
        <v>4.55</v>
      </c>
      <c r="F472" s="28">
        <v>9</v>
      </c>
      <c r="G472" s="28">
        <v>4.6500000000000004</v>
      </c>
      <c r="H472" s="28">
        <v>2.4</v>
      </c>
      <c r="I472" s="28">
        <v>12.4</v>
      </c>
      <c r="J472" s="28">
        <f t="shared" si="30"/>
        <v>36.299999999999997</v>
      </c>
      <c r="K472" s="28" t="s">
        <v>475</v>
      </c>
      <c r="L472" s="87">
        <v>36.299999999999997</v>
      </c>
    </row>
    <row r="473" spans="1:12">
      <c r="A473" s="27">
        <v>41</v>
      </c>
      <c r="B473" s="57">
        <v>200943641</v>
      </c>
      <c r="C473" s="58" t="s">
        <v>351</v>
      </c>
      <c r="D473" s="28">
        <v>2.6</v>
      </c>
      <c r="E473" s="28">
        <v>3.6</v>
      </c>
      <c r="F473" s="28">
        <v>4.05</v>
      </c>
      <c r="G473" s="28">
        <v>0</v>
      </c>
      <c r="H473" s="28">
        <v>0</v>
      </c>
      <c r="I473" s="28">
        <v>4.3499999999999996</v>
      </c>
      <c r="J473" s="28">
        <f t="shared" si="30"/>
        <v>14.599999999999998</v>
      </c>
      <c r="K473" s="28" t="s">
        <v>475</v>
      </c>
      <c r="L473" s="87">
        <v>14.6</v>
      </c>
    </row>
    <row r="474" spans="1:12">
      <c r="A474" s="27">
        <v>42</v>
      </c>
      <c r="B474" s="57">
        <v>200943691</v>
      </c>
      <c r="C474" s="58" t="s">
        <v>352</v>
      </c>
      <c r="D474" s="28">
        <v>6.74</v>
      </c>
      <c r="E474" s="28">
        <v>6</v>
      </c>
      <c r="F474" s="28">
        <v>6</v>
      </c>
      <c r="G474" s="28">
        <v>5.25</v>
      </c>
      <c r="H474" s="28">
        <v>5.0999999999999996</v>
      </c>
      <c r="I474" s="28">
        <v>13.58</v>
      </c>
      <c r="J474" s="28">
        <f t="shared" si="30"/>
        <v>42.67</v>
      </c>
      <c r="K474" s="28">
        <v>6.5</v>
      </c>
      <c r="L474" s="87">
        <f>+K474+J474</f>
        <v>49.17</v>
      </c>
    </row>
    <row r="475" spans="1:12">
      <c r="A475" s="27">
        <v>43</v>
      </c>
      <c r="B475" s="57">
        <v>200943700</v>
      </c>
      <c r="C475" s="58" t="s">
        <v>353</v>
      </c>
      <c r="D475" s="28">
        <v>9.58</v>
      </c>
      <c r="E475" s="28">
        <v>7.8</v>
      </c>
      <c r="F475" s="28">
        <v>9.9</v>
      </c>
      <c r="G475" s="28">
        <v>6.3</v>
      </c>
      <c r="H475" s="28">
        <v>8.85</v>
      </c>
      <c r="I475" s="28">
        <v>15.27</v>
      </c>
      <c r="J475" s="28">
        <f t="shared" si="30"/>
        <v>57.699999999999996</v>
      </c>
      <c r="K475" s="28">
        <v>11</v>
      </c>
      <c r="L475" s="87">
        <f>+K475+J475</f>
        <v>68.699999999999989</v>
      </c>
    </row>
    <row r="476" spans="1:12">
      <c r="A476" s="27">
        <v>44</v>
      </c>
      <c r="B476" s="57">
        <v>200943737</v>
      </c>
      <c r="C476" s="58" t="s">
        <v>436</v>
      </c>
      <c r="D476" s="28">
        <v>6.42</v>
      </c>
      <c r="E476" s="28">
        <v>0</v>
      </c>
      <c r="F476" s="28">
        <v>0</v>
      </c>
      <c r="G476" s="28">
        <v>0</v>
      </c>
      <c r="H476" s="28">
        <v>0</v>
      </c>
      <c r="I476" s="28">
        <v>0.9</v>
      </c>
      <c r="J476" s="28">
        <f t="shared" si="30"/>
        <v>7.32</v>
      </c>
      <c r="K476" s="28" t="s">
        <v>475</v>
      </c>
      <c r="L476" s="87">
        <v>7.32</v>
      </c>
    </row>
    <row r="477" spans="1:12">
      <c r="A477" s="27">
        <v>45</v>
      </c>
      <c r="B477" s="57">
        <v>200943793</v>
      </c>
      <c r="C477" s="58" t="s">
        <v>354</v>
      </c>
      <c r="D477" s="28">
        <v>6.56</v>
      </c>
      <c r="E477" s="28">
        <v>7.95</v>
      </c>
      <c r="F477" s="28">
        <v>6.9</v>
      </c>
      <c r="G477" s="28">
        <v>4.8</v>
      </c>
      <c r="H477" s="28">
        <v>6</v>
      </c>
      <c r="I477" s="28">
        <v>14.29</v>
      </c>
      <c r="J477" s="28">
        <f t="shared" si="30"/>
        <v>46.500000000000007</v>
      </c>
      <c r="K477" s="28">
        <v>10.5</v>
      </c>
      <c r="L477" s="87">
        <f>+K477+J477</f>
        <v>57.000000000000007</v>
      </c>
    </row>
    <row r="478" spans="1:12">
      <c r="A478" s="27">
        <v>46</v>
      </c>
      <c r="B478" s="57">
        <v>200943840</v>
      </c>
      <c r="C478" s="58" t="s">
        <v>355</v>
      </c>
      <c r="D478" s="28">
        <v>6.38</v>
      </c>
      <c r="E478" s="28">
        <v>5.85</v>
      </c>
      <c r="F478" s="28">
        <v>6.6</v>
      </c>
      <c r="G478" s="28">
        <v>4.2</v>
      </c>
      <c r="H478" s="28">
        <v>0</v>
      </c>
      <c r="I478" s="28">
        <v>6.14</v>
      </c>
      <c r="J478" s="28">
        <f t="shared" si="30"/>
        <v>29.169999999999998</v>
      </c>
      <c r="K478" s="28" t="s">
        <v>475</v>
      </c>
      <c r="L478" s="87">
        <v>29.17</v>
      </c>
    </row>
    <row r="479" spans="1:12">
      <c r="A479" s="27">
        <v>47</v>
      </c>
      <c r="B479" s="57">
        <v>200944056</v>
      </c>
      <c r="C479" s="58" t="s">
        <v>356</v>
      </c>
      <c r="D479" s="28">
        <v>7.78</v>
      </c>
      <c r="E479" s="28">
        <v>7.2</v>
      </c>
      <c r="F479" s="28">
        <v>6.9</v>
      </c>
      <c r="G479" s="28">
        <v>7.8</v>
      </c>
      <c r="H479" s="28">
        <v>6.75</v>
      </c>
      <c r="I479" s="28">
        <v>13.38</v>
      </c>
      <c r="J479" s="28">
        <f t="shared" si="30"/>
        <v>49.810000000000009</v>
      </c>
      <c r="K479" s="28">
        <v>13.5</v>
      </c>
      <c r="L479" s="87">
        <f>+K479+J479</f>
        <v>63.310000000000009</v>
      </c>
    </row>
    <row r="480" spans="1:12">
      <c r="A480" s="27">
        <v>48</v>
      </c>
      <c r="B480" s="57">
        <v>200944097</v>
      </c>
      <c r="C480" s="58" t="s">
        <v>357</v>
      </c>
      <c r="D480" s="28">
        <v>7.82</v>
      </c>
      <c r="E480" s="28">
        <v>7.95</v>
      </c>
      <c r="F480" s="28">
        <v>4.5</v>
      </c>
      <c r="G480" s="28">
        <v>6.6</v>
      </c>
      <c r="H480" s="28">
        <v>7.35</v>
      </c>
      <c r="I480" s="28">
        <v>13.68</v>
      </c>
      <c r="J480" s="28">
        <f t="shared" si="30"/>
        <v>47.900000000000006</v>
      </c>
      <c r="K480" s="28">
        <v>13.5</v>
      </c>
      <c r="L480" s="87">
        <f>+K480+J480</f>
        <v>61.400000000000006</v>
      </c>
    </row>
    <row r="481" spans="1:12">
      <c r="A481" s="27">
        <v>49</v>
      </c>
      <c r="B481" s="57">
        <v>200944241</v>
      </c>
      <c r="C481" s="58" t="s">
        <v>358</v>
      </c>
      <c r="D481" s="28">
        <v>7.28</v>
      </c>
      <c r="E481" s="28">
        <v>5.7</v>
      </c>
      <c r="F481" s="28">
        <v>6.9</v>
      </c>
      <c r="G481" s="28">
        <v>6</v>
      </c>
      <c r="H481" s="28">
        <v>6.3</v>
      </c>
      <c r="I481" s="28">
        <v>15.34</v>
      </c>
      <c r="J481" s="28">
        <f t="shared" si="30"/>
        <v>47.52</v>
      </c>
      <c r="K481" s="28">
        <v>12</v>
      </c>
      <c r="L481" s="87">
        <f>+K481+J481</f>
        <v>59.52</v>
      </c>
    </row>
    <row r="482" spans="1:12">
      <c r="A482" s="27">
        <v>50</v>
      </c>
      <c r="B482" s="57">
        <v>200944435</v>
      </c>
      <c r="C482" s="60" t="s">
        <v>359</v>
      </c>
      <c r="D482" s="28">
        <v>7.16</v>
      </c>
      <c r="E482" s="28">
        <v>6.25</v>
      </c>
      <c r="F482" s="28">
        <v>6</v>
      </c>
      <c r="G482" s="28">
        <v>2.5499999999999998</v>
      </c>
      <c r="H482" s="28">
        <v>0</v>
      </c>
      <c r="I482" s="28">
        <v>6.91</v>
      </c>
      <c r="J482" s="28">
        <f t="shared" si="30"/>
        <v>28.87</v>
      </c>
      <c r="K482" s="28" t="s">
        <v>475</v>
      </c>
      <c r="L482" s="87">
        <v>28.87</v>
      </c>
    </row>
    <row r="483" spans="1:12">
      <c r="A483" s="27">
        <v>51</v>
      </c>
      <c r="B483" s="57">
        <v>200944452</v>
      </c>
      <c r="C483" s="58" t="s">
        <v>360</v>
      </c>
      <c r="D483" s="28">
        <v>6.32</v>
      </c>
      <c r="E483" s="28">
        <v>4.6500000000000004</v>
      </c>
      <c r="F483" s="28">
        <v>6</v>
      </c>
      <c r="G483" s="28">
        <v>3</v>
      </c>
      <c r="H483" s="28">
        <v>0</v>
      </c>
      <c r="I483" s="28">
        <v>5.38</v>
      </c>
      <c r="J483" s="28">
        <f t="shared" si="30"/>
        <v>25.35</v>
      </c>
      <c r="K483" s="28" t="s">
        <v>475</v>
      </c>
      <c r="L483" s="87">
        <v>25.35</v>
      </c>
    </row>
    <row r="484" spans="1:12">
      <c r="A484" s="27">
        <v>52</v>
      </c>
      <c r="B484" s="57">
        <v>200944938</v>
      </c>
      <c r="C484" s="60" t="s">
        <v>361</v>
      </c>
      <c r="D484" s="28">
        <v>3.8</v>
      </c>
      <c r="E484" s="28">
        <v>4.95</v>
      </c>
      <c r="F484" s="28">
        <v>9</v>
      </c>
      <c r="G484" s="28">
        <v>6.9</v>
      </c>
      <c r="H484" s="28">
        <v>6.9</v>
      </c>
      <c r="I484" s="28">
        <v>13.48</v>
      </c>
      <c r="J484" s="28">
        <f t="shared" si="30"/>
        <v>45.03</v>
      </c>
      <c r="K484" s="28">
        <v>12.5</v>
      </c>
      <c r="L484" s="87">
        <f>+K484+J484</f>
        <v>57.53</v>
      </c>
    </row>
    <row r="485" spans="1:12">
      <c r="A485" s="27">
        <v>53</v>
      </c>
      <c r="B485" s="57">
        <v>200944985</v>
      </c>
      <c r="C485" s="60" t="s">
        <v>362</v>
      </c>
      <c r="D485" s="28">
        <v>5.36</v>
      </c>
      <c r="E485" s="28">
        <v>7.65</v>
      </c>
      <c r="F485" s="28">
        <v>8.1</v>
      </c>
      <c r="G485" s="28">
        <v>3.6</v>
      </c>
      <c r="H485" s="28">
        <v>6.45</v>
      </c>
      <c r="I485" s="28">
        <v>11.78</v>
      </c>
      <c r="J485" s="28">
        <f t="shared" si="30"/>
        <v>42.94</v>
      </c>
      <c r="K485" s="28">
        <v>12</v>
      </c>
      <c r="L485" s="87">
        <f>+K485+J485</f>
        <v>54.94</v>
      </c>
    </row>
    <row r="486" spans="1:12">
      <c r="A486" s="27">
        <v>54</v>
      </c>
      <c r="B486" s="57">
        <v>200946113</v>
      </c>
      <c r="C486" s="58" t="s">
        <v>363</v>
      </c>
      <c r="D486" s="28">
        <v>6.58</v>
      </c>
      <c r="E486" s="28">
        <v>6.9</v>
      </c>
      <c r="F486" s="28">
        <v>8.1</v>
      </c>
      <c r="G486" s="28">
        <v>5.7</v>
      </c>
      <c r="H486" s="28">
        <v>8.4</v>
      </c>
      <c r="I486" s="28">
        <v>11.71</v>
      </c>
      <c r="J486" s="28">
        <f t="shared" si="30"/>
        <v>47.389999999999993</v>
      </c>
      <c r="K486" s="28">
        <v>15</v>
      </c>
      <c r="L486" s="87">
        <f>+K486+J486</f>
        <v>62.389999999999993</v>
      </c>
    </row>
    <row r="487" spans="1:12">
      <c r="A487" s="29"/>
      <c r="B487" s="29"/>
      <c r="C487" s="30"/>
      <c r="D487" s="36"/>
      <c r="E487" s="36"/>
      <c r="F487" s="36"/>
      <c r="G487" s="36"/>
      <c r="H487" s="36"/>
      <c r="I487" s="36"/>
      <c r="J487" s="36"/>
      <c r="K487" s="36"/>
      <c r="L487" s="89"/>
    </row>
    <row r="488" spans="1:12">
      <c r="A488" s="29"/>
      <c r="B488" s="29"/>
      <c r="C488" s="30"/>
      <c r="D488" s="36"/>
      <c r="E488" s="36"/>
      <c r="F488" s="36"/>
      <c r="G488" s="36"/>
      <c r="H488" s="36"/>
      <c r="I488" s="36"/>
      <c r="J488" s="36"/>
      <c r="K488" s="36"/>
      <c r="L488" s="89"/>
    </row>
    <row r="489" spans="1:12" ht="17.25" thickBot="1">
      <c r="A489" s="29"/>
      <c r="B489" s="29"/>
      <c r="C489" s="30"/>
      <c r="D489" s="36"/>
      <c r="E489" s="36"/>
      <c r="F489" s="36"/>
      <c r="G489" s="36"/>
      <c r="H489" s="90"/>
      <c r="I489" s="90"/>
      <c r="J489" s="90"/>
      <c r="K489" s="7"/>
      <c r="L489" s="89"/>
    </row>
    <row r="490" spans="1:12">
      <c r="H490" s="101" t="s">
        <v>453</v>
      </c>
      <c r="I490" s="101"/>
      <c r="J490" s="101"/>
      <c r="L490" s="84"/>
    </row>
    <row r="491" spans="1:12">
      <c r="D491" s="36"/>
      <c r="H491" s="101" t="s">
        <v>21</v>
      </c>
      <c r="I491" s="101"/>
      <c r="J491" s="101"/>
      <c r="L491" s="84"/>
    </row>
    <row r="492" spans="1:12">
      <c r="D492" s="36"/>
      <c r="H492" s="101" t="s">
        <v>454</v>
      </c>
      <c r="I492" s="101"/>
      <c r="J492" s="101"/>
      <c r="L492" s="84"/>
    </row>
  </sheetData>
  <sortState ref="B433:L486">
    <sortCondition ref="B432"/>
  </sortState>
  <mergeCells count="18">
    <mergeCell ref="H244:J244"/>
    <mergeCell ref="H68:J68"/>
    <mergeCell ref="H69:J69"/>
    <mergeCell ref="H70:J70"/>
    <mergeCell ref="H320:J320"/>
    <mergeCell ref="H156:J156"/>
    <mergeCell ref="H157:J157"/>
    <mergeCell ref="H158:J158"/>
    <mergeCell ref="H242:J242"/>
    <mergeCell ref="H243:J243"/>
    <mergeCell ref="H490:J490"/>
    <mergeCell ref="H491:J491"/>
    <mergeCell ref="H492:J492"/>
    <mergeCell ref="H321:J321"/>
    <mergeCell ref="H322:J322"/>
    <mergeCell ref="H407:J407"/>
    <mergeCell ref="H408:J408"/>
    <mergeCell ref="H409:J409"/>
  </mergeCells>
  <pageMargins left="0.28000000000000003" right="0.3" top="0.46" bottom="0.51" header="0.31496062992125984" footer="0.31496062992125984"/>
  <pageSetup paperSize="129" scale="8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L483"/>
  <sheetViews>
    <sheetView tabSelected="1" topLeftCell="B278" workbookViewId="0">
      <selection activeCell="J288" sqref="J288"/>
    </sheetView>
  </sheetViews>
  <sheetFormatPr baseColWidth="10" defaultRowHeight="16.5"/>
  <cols>
    <col min="1" max="1" width="4.140625" style="2" customWidth="1"/>
    <col min="2" max="2" width="10" style="2" bestFit="1" customWidth="1"/>
    <col min="3" max="3" width="35.5703125" style="2" bestFit="1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13.42578125" style="2" customWidth="1"/>
    <col min="10" max="10" width="12.85546875" style="2" bestFit="1" customWidth="1"/>
    <col min="11" max="11" width="14.42578125" style="2" bestFit="1" customWidth="1"/>
    <col min="12" max="12" width="7.5703125" style="2" bestFit="1" customWidth="1"/>
    <col min="13" max="16384" width="11.42578125" style="2"/>
  </cols>
  <sheetData>
    <row r="1" spans="1:12" ht="17.25" thickBot="1">
      <c r="A1" s="1" t="s">
        <v>0</v>
      </c>
      <c r="I1" s="3"/>
    </row>
    <row r="2" spans="1:12">
      <c r="A2" s="1" t="s">
        <v>1</v>
      </c>
      <c r="F2" s="4"/>
      <c r="G2" s="5"/>
      <c r="H2" s="6"/>
      <c r="I2" s="7"/>
    </row>
    <row r="3" spans="1:12">
      <c r="A3" s="8" t="s">
        <v>2</v>
      </c>
      <c r="B3" s="9"/>
      <c r="E3" s="7"/>
      <c r="F3" s="10"/>
      <c r="G3" s="11"/>
      <c r="H3" s="12"/>
      <c r="I3" s="7"/>
    </row>
    <row r="4" spans="1:12" ht="17.25" thickBot="1">
      <c r="A4" s="13" t="s">
        <v>3</v>
      </c>
      <c r="B4" s="9"/>
      <c r="E4" s="7"/>
      <c r="F4" s="10"/>
      <c r="G4" s="11"/>
      <c r="H4" s="12"/>
      <c r="I4" s="7"/>
    </row>
    <row r="5" spans="1:12" ht="17.25" thickBot="1">
      <c r="A5" s="14" t="s">
        <v>22</v>
      </c>
      <c r="B5" s="15"/>
      <c r="C5" s="16"/>
      <c r="E5" s="7"/>
      <c r="F5" s="17"/>
      <c r="G5" s="18"/>
      <c r="H5" s="19"/>
      <c r="I5" s="7"/>
    </row>
    <row r="6" spans="1:12">
      <c r="A6" s="8"/>
      <c r="B6" s="9"/>
      <c r="E6" s="7"/>
      <c r="I6" s="3"/>
    </row>
    <row r="7" spans="1:12">
      <c r="A7" s="1" t="s">
        <v>91</v>
      </c>
      <c r="B7" s="9"/>
      <c r="C7" s="20" t="s">
        <v>92</v>
      </c>
      <c r="E7" s="7"/>
      <c r="I7" s="3"/>
    </row>
    <row r="8" spans="1:12">
      <c r="A8" s="1" t="s">
        <v>4</v>
      </c>
      <c r="C8" s="20" t="s">
        <v>462</v>
      </c>
      <c r="I8" s="3"/>
    </row>
    <row r="9" spans="1:12">
      <c r="A9" s="1" t="s">
        <v>5</v>
      </c>
      <c r="C9" s="20" t="s">
        <v>463</v>
      </c>
    </row>
    <row r="10" spans="1:12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2">
      <c r="A11" s="1"/>
      <c r="C11" s="22" t="s">
        <v>6</v>
      </c>
      <c r="D11" s="22" t="s">
        <v>435</v>
      </c>
      <c r="E11" s="22" t="s">
        <v>435</v>
      </c>
      <c r="F11" s="22" t="s">
        <v>435</v>
      </c>
      <c r="G11" s="22" t="s">
        <v>435</v>
      </c>
      <c r="H11" s="22" t="s">
        <v>435</v>
      </c>
      <c r="I11" s="22" t="s">
        <v>7</v>
      </c>
      <c r="J11" s="22" t="s">
        <v>8</v>
      </c>
      <c r="K11" s="22" t="s">
        <v>7</v>
      </c>
      <c r="L11" s="22" t="s">
        <v>9</v>
      </c>
    </row>
    <row r="12" spans="1:12">
      <c r="A12" s="22" t="s">
        <v>10</v>
      </c>
      <c r="B12" s="22" t="s">
        <v>11</v>
      </c>
      <c r="C12" s="22" t="s">
        <v>12</v>
      </c>
      <c r="D12" s="22" t="s">
        <v>13</v>
      </c>
      <c r="E12" s="22" t="s">
        <v>14</v>
      </c>
      <c r="F12" s="22" t="s">
        <v>15</v>
      </c>
      <c r="G12" s="22" t="s">
        <v>16</v>
      </c>
      <c r="H12" s="22" t="s">
        <v>17</v>
      </c>
      <c r="I12" s="22" t="s">
        <v>95</v>
      </c>
      <c r="J12" s="22" t="s">
        <v>18</v>
      </c>
      <c r="K12" s="22" t="s">
        <v>19</v>
      </c>
      <c r="L12" s="22" t="s">
        <v>20</v>
      </c>
    </row>
    <row r="13" spans="1:12">
      <c r="A13" s="23">
        <v>1</v>
      </c>
      <c r="B13" s="40">
        <v>200742316</v>
      </c>
      <c r="C13" s="38" t="s">
        <v>28</v>
      </c>
      <c r="D13" s="24">
        <v>3.53</v>
      </c>
      <c r="E13" s="24">
        <v>4.5</v>
      </c>
      <c r="F13" s="24">
        <v>5.85</v>
      </c>
      <c r="G13" s="24">
        <v>10.199999999999999</v>
      </c>
      <c r="H13" s="24">
        <v>5.28</v>
      </c>
      <c r="I13" s="24">
        <v>16</v>
      </c>
      <c r="J13" s="24">
        <f>+I13+H13+G13+F13+E13+D13</f>
        <v>45.36</v>
      </c>
      <c r="K13" s="24">
        <v>11.6</v>
      </c>
      <c r="L13" s="25">
        <f>+K13+J13</f>
        <v>56.96</v>
      </c>
    </row>
    <row r="14" spans="1:12">
      <c r="A14" s="26">
        <v>2</v>
      </c>
      <c r="B14" s="37">
        <v>200840198</v>
      </c>
      <c r="C14" s="38" t="s">
        <v>41</v>
      </c>
      <c r="D14" s="24">
        <v>8.3000000000000007</v>
      </c>
      <c r="E14" s="24">
        <v>5</v>
      </c>
      <c r="F14" s="24">
        <v>5.4</v>
      </c>
      <c r="G14" s="24">
        <v>10.199999999999999</v>
      </c>
      <c r="H14" s="24">
        <v>7.2</v>
      </c>
      <c r="I14" s="24">
        <v>16</v>
      </c>
      <c r="J14" s="24">
        <f>+I14+H14+G14+F14+E14+D14</f>
        <v>52.099999999999994</v>
      </c>
      <c r="K14" s="24">
        <v>13.2</v>
      </c>
      <c r="L14" s="25">
        <f t="shared" ref="L14:L56" si="0">+K14+J14</f>
        <v>65.3</v>
      </c>
    </row>
    <row r="15" spans="1:12">
      <c r="A15" s="27">
        <v>3</v>
      </c>
      <c r="B15" s="40">
        <v>200840211</v>
      </c>
      <c r="C15" s="38" t="s">
        <v>42</v>
      </c>
      <c r="D15" s="24">
        <v>3.7</v>
      </c>
      <c r="E15" s="24">
        <v>3.5</v>
      </c>
      <c r="F15" s="24">
        <v>1.05</v>
      </c>
      <c r="G15" s="24">
        <v>10.199999999999999</v>
      </c>
      <c r="H15" s="24">
        <v>4.08</v>
      </c>
      <c r="I15" s="24">
        <v>16</v>
      </c>
      <c r="J15" s="24">
        <f>+I15+H15+G15+F15+E15+D15</f>
        <v>38.53</v>
      </c>
      <c r="K15" s="24" t="s">
        <v>475</v>
      </c>
      <c r="L15" s="25">
        <f>+J15</f>
        <v>38.53</v>
      </c>
    </row>
    <row r="16" spans="1:12">
      <c r="A16" s="26">
        <v>4</v>
      </c>
      <c r="B16" s="37">
        <v>200842032</v>
      </c>
      <c r="C16" s="39" t="s">
        <v>44</v>
      </c>
      <c r="D16" s="24">
        <v>5.29</v>
      </c>
      <c r="E16" s="24">
        <v>2.8</v>
      </c>
      <c r="F16" s="24">
        <v>1.2</v>
      </c>
      <c r="G16" s="24">
        <v>6</v>
      </c>
      <c r="H16" s="24">
        <v>0</v>
      </c>
      <c r="I16" s="24">
        <v>16</v>
      </c>
      <c r="J16" s="24">
        <f t="shared" ref="J16:J57" si="1">+I16+H16+G16+F16+E16+D16</f>
        <v>31.29</v>
      </c>
      <c r="K16" s="24" t="s">
        <v>475</v>
      </c>
      <c r="L16" s="25">
        <f t="shared" ref="L16:L17" si="2">+J16</f>
        <v>31.29</v>
      </c>
    </row>
    <row r="17" spans="1:12">
      <c r="A17" s="26">
        <v>5</v>
      </c>
      <c r="B17" s="40">
        <v>200842061</v>
      </c>
      <c r="C17" s="38" t="s">
        <v>48</v>
      </c>
      <c r="D17" s="24">
        <v>5.29</v>
      </c>
      <c r="E17" s="24">
        <v>4.4000000000000004</v>
      </c>
      <c r="F17" s="24">
        <v>1.8</v>
      </c>
      <c r="G17" s="24">
        <v>6.6</v>
      </c>
      <c r="H17" s="24">
        <v>4.5599999999999996</v>
      </c>
      <c r="I17" s="24">
        <v>16</v>
      </c>
      <c r="J17" s="24">
        <f t="shared" si="1"/>
        <v>38.65</v>
      </c>
      <c r="K17" s="24" t="s">
        <v>475</v>
      </c>
      <c r="L17" s="25">
        <f t="shared" si="2"/>
        <v>38.65</v>
      </c>
    </row>
    <row r="18" spans="1:12">
      <c r="A18" s="26">
        <v>6</v>
      </c>
      <c r="B18" s="37">
        <v>200842227</v>
      </c>
      <c r="C18" s="38" t="s">
        <v>51</v>
      </c>
      <c r="D18" s="24">
        <v>4.75</v>
      </c>
      <c r="E18" s="24">
        <v>5</v>
      </c>
      <c r="F18" s="24">
        <v>7.26</v>
      </c>
      <c r="G18" s="24">
        <v>10.199999999999999</v>
      </c>
      <c r="H18" s="24">
        <v>7.2</v>
      </c>
      <c r="I18" s="24">
        <v>16</v>
      </c>
      <c r="J18" s="24">
        <f t="shared" si="1"/>
        <v>50.41</v>
      </c>
      <c r="K18" s="24">
        <v>14.4</v>
      </c>
      <c r="L18" s="25">
        <f t="shared" si="0"/>
        <v>64.81</v>
      </c>
    </row>
    <row r="19" spans="1:12">
      <c r="A19" s="26">
        <v>7</v>
      </c>
      <c r="B19" s="37">
        <v>200842253</v>
      </c>
      <c r="C19" s="38" t="s">
        <v>52</v>
      </c>
      <c r="D19" s="24">
        <v>3.18</v>
      </c>
      <c r="E19" s="24">
        <v>3</v>
      </c>
      <c r="F19" s="24">
        <f>G19</f>
        <v>7.8</v>
      </c>
      <c r="G19" s="24">
        <v>7.8</v>
      </c>
      <c r="H19" s="24">
        <v>3.12</v>
      </c>
      <c r="I19" s="24">
        <v>16</v>
      </c>
      <c r="J19" s="24">
        <f t="shared" si="1"/>
        <v>40.9</v>
      </c>
      <c r="K19" s="24" t="s">
        <v>475</v>
      </c>
      <c r="L19" s="25">
        <f>+J19</f>
        <v>40.9</v>
      </c>
    </row>
    <row r="20" spans="1:12">
      <c r="A20" s="26">
        <v>8</v>
      </c>
      <c r="B20" s="37">
        <v>200940284</v>
      </c>
      <c r="C20" s="39" t="s">
        <v>53</v>
      </c>
      <c r="D20" s="24">
        <v>2.12</v>
      </c>
      <c r="E20" s="24">
        <v>2.8</v>
      </c>
      <c r="F20" s="24">
        <v>1.5</v>
      </c>
      <c r="G20" s="24">
        <v>8.4</v>
      </c>
      <c r="H20" s="24">
        <v>3.36</v>
      </c>
      <c r="I20" s="24">
        <v>16</v>
      </c>
      <c r="J20" s="24">
        <f t="shared" si="1"/>
        <v>34.179999999999993</v>
      </c>
      <c r="K20" s="24" t="s">
        <v>475</v>
      </c>
      <c r="L20" s="25">
        <f t="shared" ref="L20:L21" si="3">+J20</f>
        <v>34.179999999999993</v>
      </c>
    </row>
    <row r="21" spans="1:12">
      <c r="A21" s="26">
        <v>9</v>
      </c>
      <c r="B21" s="37">
        <v>200940311</v>
      </c>
      <c r="C21" s="41" t="s">
        <v>54</v>
      </c>
      <c r="D21" s="24">
        <v>4.59</v>
      </c>
      <c r="E21" s="24">
        <v>3.5</v>
      </c>
      <c r="F21" s="24">
        <v>2.1</v>
      </c>
      <c r="G21" s="24">
        <v>8.4</v>
      </c>
      <c r="H21" s="24">
        <v>0</v>
      </c>
      <c r="I21" s="24">
        <v>16</v>
      </c>
      <c r="J21" s="24">
        <f t="shared" si="1"/>
        <v>34.590000000000003</v>
      </c>
      <c r="K21" s="24" t="s">
        <v>475</v>
      </c>
      <c r="L21" s="25">
        <f t="shared" si="3"/>
        <v>34.590000000000003</v>
      </c>
    </row>
    <row r="22" spans="1:12">
      <c r="A22" s="26">
        <v>10</v>
      </c>
      <c r="B22" s="37">
        <v>200940313</v>
      </c>
      <c r="C22" s="38" t="s">
        <v>55</v>
      </c>
      <c r="D22" s="24">
        <v>3.4</v>
      </c>
      <c r="E22" s="24">
        <v>2.6</v>
      </c>
      <c r="F22" s="24">
        <v>3.75</v>
      </c>
      <c r="G22" s="24">
        <f>+H22</f>
        <v>8.16</v>
      </c>
      <c r="H22" s="24">
        <v>8.16</v>
      </c>
      <c r="I22" s="24">
        <v>16</v>
      </c>
      <c r="J22" s="24">
        <f t="shared" si="1"/>
        <v>42.07</v>
      </c>
      <c r="K22" s="24">
        <v>10</v>
      </c>
      <c r="L22" s="25">
        <f t="shared" si="0"/>
        <v>52.07</v>
      </c>
    </row>
    <row r="23" spans="1:12">
      <c r="A23" s="26">
        <v>11</v>
      </c>
      <c r="B23" s="37">
        <v>200940323</v>
      </c>
      <c r="C23" s="38" t="s">
        <v>56</v>
      </c>
      <c r="D23" s="24">
        <v>2.82</v>
      </c>
      <c r="E23" s="24">
        <v>0</v>
      </c>
      <c r="F23" s="24">
        <v>0</v>
      </c>
      <c r="G23" s="24">
        <v>0</v>
      </c>
      <c r="H23" s="28">
        <v>0</v>
      </c>
      <c r="I23" s="24">
        <v>16</v>
      </c>
      <c r="J23" s="24">
        <f t="shared" si="1"/>
        <v>18.82</v>
      </c>
      <c r="K23" s="24" t="s">
        <v>475</v>
      </c>
      <c r="L23" s="25">
        <f>+J23</f>
        <v>18.82</v>
      </c>
    </row>
    <row r="24" spans="1:12">
      <c r="A24" s="26">
        <v>12</v>
      </c>
      <c r="B24" s="37">
        <v>200940326</v>
      </c>
      <c r="C24" s="38" t="s">
        <v>57</v>
      </c>
      <c r="D24" s="24">
        <v>6.71</v>
      </c>
      <c r="E24" s="24">
        <v>2</v>
      </c>
      <c r="F24" s="24">
        <v>0</v>
      </c>
      <c r="G24" s="24">
        <v>0</v>
      </c>
      <c r="H24" s="28">
        <v>0</v>
      </c>
      <c r="I24" s="24">
        <v>16</v>
      </c>
      <c r="J24" s="24">
        <f t="shared" si="1"/>
        <v>24.71</v>
      </c>
      <c r="K24" s="24" t="s">
        <v>475</v>
      </c>
      <c r="L24" s="25">
        <f t="shared" ref="L24:L26" si="4">+J24</f>
        <v>24.71</v>
      </c>
    </row>
    <row r="25" spans="1:12">
      <c r="A25" s="26">
        <v>13</v>
      </c>
      <c r="B25" s="37">
        <v>200940327</v>
      </c>
      <c r="C25" s="38" t="s">
        <v>58</v>
      </c>
      <c r="D25" s="24">
        <v>5.65</v>
      </c>
      <c r="E25" s="24">
        <v>2.6</v>
      </c>
      <c r="F25" s="24">
        <v>1.2</v>
      </c>
      <c r="G25" s="24">
        <v>7.8</v>
      </c>
      <c r="H25" s="28">
        <v>3.36</v>
      </c>
      <c r="I25" s="24">
        <v>16</v>
      </c>
      <c r="J25" s="24">
        <f t="shared" si="1"/>
        <v>36.61</v>
      </c>
      <c r="K25" s="24" t="s">
        <v>475</v>
      </c>
      <c r="L25" s="25">
        <f t="shared" si="4"/>
        <v>36.61</v>
      </c>
    </row>
    <row r="26" spans="1:12">
      <c r="A26" s="23">
        <v>14</v>
      </c>
      <c r="B26" s="37">
        <v>200940328</v>
      </c>
      <c r="C26" s="41" t="s">
        <v>59</v>
      </c>
      <c r="D26" s="24">
        <v>7</v>
      </c>
      <c r="E26" s="24">
        <v>4</v>
      </c>
      <c r="F26" s="24">
        <v>3.3</v>
      </c>
      <c r="G26" s="24">
        <v>0</v>
      </c>
      <c r="H26" s="28">
        <v>0</v>
      </c>
      <c r="I26" s="24">
        <v>16</v>
      </c>
      <c r="J26" s="24">
        <f t="shared" si="1"/>
        <v>30.3</v>
      </c>
      <c r="K26" s="24" t="s">
        <v>475</v>
      </c>
      <c r="L26" s="25">
        <f t="shared" si="4"/>
        <v>30.3</v>
      </c>
    </row>
    <row r="27" spans="1:12">
      <c r="A27" s="23">
        <v>15</v>
      </c>
      <c r="B27" s="37">
        <v>200940340</v>
      </c>
      <c r="C27" s="41" t="s">
        <v>60</v>
      </c>
      <c r="D27" s="24">
        <v>4.9400000000000004</v>
      </c>
      <c r="E27" s="24">
        <v>5</v>
      </c>
      <c r="F27" s="24">
        <v>4.05</v>
      </c>
      <c r="G27" s="24">
        <v>10.8</v>
      </c>
      <c r="H27" s="24">
        <v>7.68</v>
      </c>
      <c r="I27" s="24">
        <v>16</v>
      </c>
      <c r="J27" s="24">
        <f t="shared" si="1"/>
        <v>48.47</v>
      </c>
      <c r="K27" s="24">
        <v>14.4</v>
      </c>
      <c r="L27" s="25">
        <f t="shared" si="0"/>
        <v>62.87</v>
      </c>
    </row>
    <row r="28" spans="1:12">
      <c r="A28" s="23">
        <v>16</v>
      </c>
      <c r="B28" s="37">
        <v>200940355</v>
      </c>
      <c r="C28" s="41" t="s">
        <v>61</v>
      </c>
      <c r="D28" s="24">
        <v>2.82</v>
      </c>
      <c r="E28" s="24">
        <v>4.5999999999999996</v>
      </c>
      <c r="F28" s="24">
        <v>2.4</v>
      </c>
      <c r="G28" s="24">
        <v>9.6</v>
      </c>
      <c r="H28" s="24">
        <v>5.52</v>
      </c>
      <c r="I28" s="24">
        <v>16</v>
      </c>
      <c r="J28" s="24">
        <f t="shared" si="1"/>
        <v>40.94</v>
      </c>
      <c r="K28" s="24" t="s">
        <v>475</v>
      </c>
      <c r="L28" s="25">
        <f>+J28</f>
        <v>40.94</v>
      </c>
    </row>
    <row r="29" spans="1:12">
      <c r="A29" s="23">
        <v>17</v>
      </c>
      <c r="B29" s="37">
        <v>200940359</v>
      </c>
      <c r="C29" s="38" t="s">
        <v>62</v>
      </c>
      <c r="D29" s="24">
        <v>4.24</v>
      </c>
      <c r="E29" s="24">
        <v>3.8</v>
      </c>
      <c r="F29" s="24">
        <v>1.5</v>
      </c>
      <c r="G29" s="24">
        <v>9.6</v>
      </c>
      <c r="H29" s="24">
        <v>7.68</v>
      </c>
      <c r="I29" s="24">
        <v>16</v>
      </c>
      <c r="J29" s="24">
        <f t="shared" si="1"/>
        <v>42.82</v>
      </c>
      <c r="K29" s="24">
        <v>11.2</v>
      </c>
      <c r="L29" s="25">
        <f t="shared" si="0"/>
        <v>54.019999999999996</v>
      </c>
    </row>
    <row r="30" spans="1:12">
      <c r="A30" s="27">
        <v>18</v>
      </c>
      <c r="B30" s="37">
        <v>200940361</v>
      </c>
      <c r="C30" s="41" t="s">
        <v>63</v>
      </c>
      <c r="D30" s="24">
        <v>3.88</v>
      </c>
      <c r="E30" s="24">
        <v>2.8</v>
      </c>
      <c r="F30" s="24">
        <v>0.3</v>
      </c>
      <c r="G30" s="24">
        <v>8.4</v>
      </c>
      <c r="H30" s="24">
        <v>4</v>
      </c>
      <c r="I30" s="24">
        <v>16</v>
      </c>
      <c r="J30" s="24">
        <f t="shared" si="1"/>
        <v>35.380000000000003</v>
      </c>
      <c r="K30" s="24" t="s">
        <v>475</v>
      </c>
      <c r="L30" s="25">
        <f>+J30</f>
        <v>35.380000000000003</v>
      </c>
    </row>
    <row r="31" spans="1:12">
      <c r="A31" s="27">
        <v>19</v>
      </c>
      <c r="B31" s="37">
        <v>200940365</v>
      </c>
      <c r="C31" s="38" t="s">
        <v>64</v>
      </c>
      <c r="D31" s="24">
        <v>4.24</v>
      </c>
      <c r="E31" s="24">
        <v>3.5</v>
      </c>
      <c r="F31" s="24">
        <v>3.6</v>
      </c>
      <c r="G31" s="24">
        <v>9</v>
      </c>
      <c r="H31" s="24">
        <v>7.2</v>
      </c>
      <c r="I31" s="24">
        <v>16</v>
      </c>
      <c r="J31" s="24">
        <f t="shared" si="1"/>
        <v>43.540000000000006</v>
      </c>
      <c r="K31" s="24">
        <v>11.2</v>
      </c>
      <c r="L31" s="25">
        <f t="shared" si="0"/>
        <v>54.740000000000009</v>
      </c>
    </row>
    <row r="32" spans="1:12">
      <c r="A32" s="27">
        <v>20</v>
      </c>
      <c r="B32" s="40">
        <v>200940438</v>
      </c>
      <c r="C32" s="42" t="s">
        <v>65</v>
      </c>
      <c r="D32" s="24">
        <v>4.59</v>
      </c>
      <c r="E32" s="24">
        <v>3.5</v>
      </c>
      <c r="F32" s="24">
        <v>2.4</v>
      </c>
      <c r="G32" s="24">
        <v>7.2</v>
      </c>
      <c r="H32" s="24">
        <v>2.64</v>
      </c>
      <c r="I32" s="24">
        <v>16</v>
      </c>
      <c r="J32" s="24">
        <f t="shared" si="1"/>
        <v>36.33</v>
      </c>
      <c r="K32" s="24" t="s">
        <v>475</v>
      </c>
      <c r="L32" s="25">
        <f>+J32</f>
        <v>36.33</v>
      </c>
    </row>
    <row r="33" spans="1:12">
      <c r="A33" s="27">
        <v>21</v>
      </c>
      <c r="B33" s="37">
        <v>200940473</v>
      </c>
      <c r="C33" s="38" t="s">
        <v>66</v>
      </c>
      <c r="D33" s="24">
        <v>3.53</v>
      </c>
      <c r="E33" s="24">
        <v>2.8</v>
      </c>
      <c r="F33" s="24">
        <v>0.75</v>
      </c>
      <c r="G33" s="24">
        <v>8.4</v>
      </c>
      <c r="H33" s="24">
        <v>2.16</v>
      </c>
      <c r="I33" s="24">
        <v>16</v>
      </c>
      <c r="J33" s="24">
        <f t="shared" si="1"/>
        <v>33.64</v>
      </c>
      <c r="K33" s="24" t="s">
        <v>475</v>
      </c>
      <c r="L33" s="25">
        <f t="shared" ref="L33" si="5">+J33</f>
        <v>33.64</v>
      </c>
    </row>
    <row r="34" spans="1:12">
      <c r="A34" s="27">
        <v>22</v>
      </c>
      <c r="B34" s="37">
        <v>200940475</v>
      </c>
      <c r="C34" s="38" t="s">
        <v>67</v>
      </c>
      <c r="D34" s="24">
        <v>3.53</v>
      </c>
      <c r="E34" s="24">
        <v>3</v>
      </c>
      <c r="F34" s="24">
        <v>4.05</v>
      </c>
      <c r="G34" s="24">
        <v>9</v>
      </c>
      <c r="H34" s="24">
        <v>5.44</v>
      </c>
      <c r="I34" s="24">
        <v>16</v>
      </c>
      <c r="J34" s="24">
        <f t="shared" si="1"/>
        <v>41.02</v>
      </c>
      <c r="K34" s="24">
        <v>12.8</v>
      </c>
      <c r="L34" s="25">
        <f>+K34+J34</f>
        <v>53.820000000000007</v>
      </c>
    </row>
    <row r="35" spans="1:12">
      <c r="A35" s="27">
        <v>23</v>
      </c>
      <c r="B35" s="37">
        <v>200940477</v>
      </c>
      <c r="C35" s="38" t="s">
        <v>68</v>
      </c>
      <c r="D35" s="24">
        <v>5.65</v>
      </c>
      <c r="E35" s="24">
        <v>3</v>
      </c>
      <c r="F35" s="24">
        <v>3</v>
      </c>
      <c r="G35" s="24">
        <v>9.6</v>
      </c>
      <c r="H35" s="24">
        <v>5.28</v>
      </c>
      <c r="I35" s="24">
        <v>16</v>
      </c>
      <c r="J35" s="24">
        <f t="shared" si="1"/>
        <v>42.53</v>
      </c>
      <c r="K35" s="24">
        <v>10.8</v>
      </c>
      <c r="L35" s="25">
        <f t="shared" si="0"/>
        <v>53.33</v>
      </c>
    </row>
    <row r="36" spans="1:12">
      <c r="A36" s="27">
        <v>24</v>
      </c>
      <c r="B36" s="37">
        <v>200940482</v>
      </c>
      <c r="C36" s="38" t="s">
        <v>69</v>
      </c>
      <c r="D36" s="24">
        <v>5.29</v>
      </c>
      <c r="E36" s="24">
        <v>4.2</v>
      </c>
      <c r="F36" s="24">
        <v>4.8</v>
      </c>
      <c r="G36" s="24">
        <v>10.199999999999999</v>
      </c>
      <c r="H36" s="24">
        <v>5.04</v>
      </c>
      <c r="I36" s="24">
        <v>16</v>
      </c>
      <c r="J36" s="24">
        <f t="shared" si="1"/>
        <v>45.53</v>
      </c>
      <c r="K36" s="24">
        <v>12.4</v>
      </c>
      <c r="L36" s="25">
        <f t="shared" si="0"/>
        <v>57.93</v>
      </c>
    </row>
    <row r="37" spans="1:12">
      <c r="A37" s="27">
        <v>25</v>
      </c>
      <c r="B37" s="40">
        <v>200940485</v>
      </c>
      <c r="C37" s="42" t="s">
        <v>70</v>
      </c>
      <c r="D37" s="24">
        <v>6</v>
      </c>
      <c r="E37" s="24">
        <v>3</v>
      </c>
      <c r="F37" s="24">
        <v>1.8</v>
      </c>
      <c r="G37" s="24">
        <v>0</v>
      </c>
      <c r="H37" s="24">
        <v>0</v>
      </c>
      <c r="I37" s="24">
        <v>16</v>
      </c>
      <c r="J37" s="24">
        <f t="shared" si="1"/>
        <v>26.8</v>
      </c>
      <c r="K37" s="24" t="s">
        <v>475</v>
      </c>
      <c r="L37" s="25">
        <f>+J37</f>
        <v>26.8</v>
      </c>
    </row>
    <row r="38" spans="1:12">
      <c r="A38" s="27">
        <v>26</v>
      </c>
      <c r="B38" s="37">
        <v>200940487</v>
      </c>
      <c r="C38" s="38" t="s">
        <v>71</v>
      </c>
      <c r="D38" s="24">
        <v>3.7</v>
      </c>
      <c r="E38" s="24">
        <v>2</v>
      </c>
      <c r="F38" s="24">
        <v>1.8</v>
      </c>
      <c r="G38" s="24">
        <v>7.8</v>
      </c>
      <c r="H38" s="24">
        <v>6</v>
      </c>
      <c r="I38" s="24">
        <v>16</v>
      </c>
      <c r="J38" s="24">
        <f t="shared" si="1"/>
        <v>37.300000000000004</v>
      </c>
      <c r="K38" s="24" t="s">
        <v>475</v>
      </c>
      <c r="L38" s="25">
        <f t="shared" ref="L38:L39" si="6">+J38</f>
        <v>37.300000000000004</v>
      </c>
    </row>
    <row r="39" spans="1:12">
      <c r="A39" s="27">
        <v>27</v>
      </c>
      <c r="B39" s="37">
        <v>200940501</v>
      </c>
      <c r="C39" s="41" t="s">
        <v>72</v>
      </c>
      <c r="D39" s="24">
        <v>5.65</v>
      </c>
      <c r="E39" s="24">
        <v>2.4</v>
      </c>
      <c r="F39" s="24">
        <v>1.5</v>
      </c>
      <c r="G39" s="24">
        <v>8.4</v>
      </c>
      <c r="H39" s="24">
        <v>0</v>
      </c>
      <c r="I39" s="24">
        <v>16</v>
      </c>
      <c r="J39" s="24">
        <f t="shared" si="1"/>
        <v>33.949999999999996</v>
      </c>
      <c r="K39" s="24" t="s">
        <v>475</v>
      </c>
      <c r="L39" s="25">
        <f t="shared" si="6"/>
        <v>33.949999999999996</v>
      </c>
    </row>
    <row r="40" spans="1:12">
      <c r="A40" s="27">
        <v>28</v>
      </c>
      <c r="B40" s="37">
        <v>200940509</v>
      </c>
      <c r="C40" s="38" t="s">
        <v>73</v>
      </c>
      <c r="D40" s="24">
        <v>7.06</v>
      </c>
      <c r="E40" s="24">
        <v>5</v>
      </c>
      <c r="F40" s="24">
        <f>G40</f>
        <v>11.4</v>
      </c>
      <c r="G40" s="24">
        <v>11.4</v>
      </c>
      <c r="H40" s="24">
        <v>9.1199999999999992</v>
      </c>
      <c r="I40" s="24">
        <v>16</v>
      </c>
      <c r="J40" s="24">
        <f t="shared" si="1"/>
        <v>59.98</v>
      </c>
      <c r="K40" s="24">
        <v>14</v>
      </c>
      <c r="L40" s="25">
        <f t="shared" si="0"/>
        <v>73.97999999999999</v>
      </c>
    </row>
    <row r="41" spans="1:12">
      <c r="A41" s="27">
        <v>29</v>
      </c>
      <c r="B41" s="37">
        <v>200940510</v>
      </c>
      <c r="C41" s="38" t="s">
        <v>74</v>
      </c>
      <c r="D41" s="24">
        <v>1.41</v>
      </c>
      <c r="E41" s="24">
        <v>1.2</v>
      </c>
      <c r="F41" s="24">
        <v>1.8</v>
      </c>
      <c r="G41" s="24">
        <f>+H41</f>
        <v>4.5599999999999996</v>
      </c>
      <c r="H41" s="24">
        <v>4.5599999999999996</v>
      </c>
      <c r="I41" s="24">
        <v>16</v>
      </c>
      <c r="J41" s="24">
        <f t="shared" si="1"/>
        <v>29.529999999999998</v>
      </c>
      <c r="K41" s="24" t="s">
        <v>475</v>
      </c>
      <c r="L41" s="25">
        <f>+J41</f>
        <v>29.529999999999998</v>
      </c>
    </row>
    <row r="42" spans="1:12">
      <c r="A42" s="27">
        <v>30</v>
      </c>
      <c r="B42" s="37">
        <v>200940515</v>
      </c>
      <c r="C42" s="42" t="s">
        <v>75</v>
      </c>
      <c r="D42" s="24">
        <v>3.18</v>
      </c>
      <c r="E42" s="24">
        <v>2</v>
      </c>
      <c r="F42" s="24">
        <v>4.05</v>
      </c>
      <c r="G42" s="24">
        <v>9</v>
      </c>
      <c r="H42" s="24">
        <v>3.84</v>
      </c>
      <c r="I42" s="24">
        <v>16</v>
      </c>
      <c r="J42" s="24">
        <f t="shared" si="1"/>
        <v>38.07</v>
      </c>
      <c r="K42" s="24" t="s">
        <v>475</v>
      </c>
      <c r="L42" s="25">
        <f t="shared" ref="L42" si="7">+J42</f>
        <v>38.07</v>
      </c>
    </row>
    <row r="43" spans="1:12">
      <c r="A43" s="27">
        <v>31</v>
      </c>
      <c r="B43" s="37">
        <v>200940517</v>
      </c>
      <c r="C43" s="38" t="s">
        <v>76</v>
      </c>
      <c r="D43" s="24">
        <v>3.18</v>
      </c>
      <c r="E43" s="24">
        <v>5.0999999999999996</v>
      </c>
      <c r="F43" s="24">
        <v>5.0999999999999996</v>
      </c>
      <c r="G43" s="24">
        <v>9</v>
      </c>
      <c r="H43" s="24">
        <v>4.5599999999999996</v>
      </c>
      <c r="I43" s="24">
        <v>16</v>
      </c>
      <c r="J43" s="24">
        <f t="shared" si="1"/>
        <v>42.94</v>
      </c>
      <c r="K43" s="24">
        <v>13.2</v>
      </c>
      <c r="L43" s="25">
        <f>+K43+J43</f>
        <v>56.14</v>
      </c>
    </row>
    <row r="44" spans="1:12">
      <c r="A44" s="27">
        <v>32</v>
      </c>
      <c r="B44" s="43">
        <v>200940518</v>
      </c>
      <c r="C44" s="44" t="s">
        <v>77</v>
      </c>
      <c r="D44" s="24">
        <v>4.59</v>
      </c>
      <c r="E44" s="24">
        <v>3.5</v>
      </c>
      <c r="F44" s="24">
        <v>3.3</v>
      </c>
      <c r="G44" s="24">
        <v>10.199999999999999</v>
      </c>
      <c r="H44" s="24">
        <v>5.76</v>
      </c>
      <c r="I44" s="24">
        <v>16</v>
      </c>
      <c r="J44" s="24">
        <f t="shared" si="1"/>
        <v>43.349999999999994</v>
      </c>
      <c r="K44" s="24">
        <v>10.4</v>
      </c>
      <c r="L44" s="25">
        <f t="shared" si="0"/>
        <v>53.749999999999993</v>
      </c>
    </row>
    <row r="45" spans="1:12">
      <c r="A45" s="27">
        <v>33</v>
      </c>
      <c r="B45" s="45">
        <v>200940525</v>
      </c>
      <c r="C45" s="46" t="s">
        <v>78</v>
      </c>
      <c r="D45" s="24">
        <v>5.65</v>
      </c>
      <c r="E45" s="24">
        <v>3.5</v>
      </c>
      <c r="F45" s="24">
        <v>4.3499999999999996</v>
      </c>
      <c r="G45" s="24">
        <v>9</v>
      </c>
      <c r="H45" s="24">
        <v>5.04</v>
      </c>
      <c r="I45" s="24">
        <v>16</v>
      </c>
      <c r="J45" s="24">
        <f t="shared" si="1"/>
        <v>43.54</v>
      </c>
      <c r="K45" s="24">
        <v>10.8</v>
      </c>
      <c r="L45" s="25">
        <f t="shared" si="0"/>
        <v>54.34</v>
      </c>
    </row>
    <row r="46" spans="1:12">
      <c r="A46" s="27">
        <v>34</v>
      </c>
      <c r="B46" s="47">
        <v>200940530</v>
      </c>
      <c r="C46" s="48" t="s">
        <v>79</v>
      </c>
      <c r="D46" s="24">
        <v>2.4700000000000002</v>
      </c>
      <c r="E46" s="24">
        <v>2.8</v>
      </c>
      <c r="F46" s="24">
        <v>2.5499999999999998</v>
      </c>
      <c r="G46" s="24">
        <v>9</v>
      </c>
      <c r="H46" s="24">
        <v>3.6</v>
      </c>
      <c r="I46" s="24">
        <v>16</v>
      </c>
      <c r="J46" s="24">
        <f t="shared" si="1"/>
        <v>36.42</v>
      </c>
      <c r="K46" s="24" t="s">
        <v>475</v>
      </c>
      <c r="L46" s="25">
        <f>+J46</f>
        <v>36.42</v>
      </c>
    </row>
    <row r="47" spans="1:12">
      <c r="A47" s="27">
        <v>35</v>
      </c>
      <c r="B47" s="37">
        <v>200940531</v>
      </c>
      <c r="C47" s="39" t="s">
        <v>80</v>
      </c>
      <c r="D47" s="24">
        <v>3.53</v>
      </c>
      <c r="E47" s="24">
        <v>2.6</v>
      </c>
      <c r="F47" s="24">
        <v>1.2</v>
      </c>
      <c r="G47" s="24">
        <v>0</v>
      </c>
      <c r="H47" s="24">
        <v>0</v>
      </c>
      <c r="I47" s="24">
        <v>16</v>
      </c>
      <c r="J47" s="24">
        <f t="shared" si="1"/>
        <v>23.330000000000002</v>
      </c>
      <c r="K47" s="24" t="s">
        <v>475</v>
      </c>
      <c r="L47" s="25">
        <f t="shared" ref="L47:L50" si="8">+J47</f>
        <v>23.330000000000002</v>
      </c>
    </row>
    <row r="48" spans="1:12">
      <c r="A48" s="27">
        <v>36</v>
      </c>
      <c r="B48" s="37">
        <v>200940532</v>
      </c>
      <c r="C48" s="38" t="s">
        <v>81</v>
      </c>
      <c r="D48" s="24">
        <v>6</v>
      </c>
      <c r="E48" s="24">
        <v>4</v>
      </c>
      <c r="F48" s="24">
        <v>2.4</v>
      </c>
      <c r="G48" s="24">
        <v>7.92</v>
      </c>
      <c r="H48" s="24">
        <v>7.92</v>
      </c>
      <c r="I48" s="24">
        <v>16</v>
      </c>
      <c r="J48" s="24">
        <f t="shared" si="1"/>
        <v>44.24</v>
      </c>
      <c r="K48" s="24">
        <v>11.6</v>
      </c>
      <c r="L48" s="25">
        <f>+K48+J48</f>
        <v>55.84</v>
      </c>
    </row>
    <row r="49" spans="1:12">
      <c r="A49" s="27">
        <v>37</v>
      </c>
      <c r="B49" s="40">
        <v>200940564</v>
      </c>
      <c r="C49" s="42" t="s">
        <v>82</v>
      </c>
      <c r="D49" s="24">
        <v>5.29</v>
      </c>
      <c r="E49" s="24">
        <v>3.6</v>
      </c>
      <c r="F49" s="24">
        <v>1.35</v>
      </c>
      <c r="G49" s="24">
        <v>0</v>
      </c>
      <c r="H49" s="24">
        <v>0</v>
      </c>
      <c r="I49" s="24">
        <v>16</v>
      </c>
      <c r="J49" s="24">
        <f t="shared" si="1"/>
        <v>26.240000000000002</v>
      </c>
      <c r="K49" s="24" t="s">
        <v>475</v>
      </c>
      <c r="L49" s="25">
        <f t="shared" si="8"/>
        <v>26.240000000000002</v>
      </c>
    </row>
    <row r="50" spans="1:12">
      <c r="A50" s="27">
        <v>38</v>
      </c>
      <c r="B50" s="49">
        <v>200940775</v>
      </c>
      <c r="C50" s="50" t="s">
        <v>83</v>
      </c>
      <c r="D50" s="24">
        <v>2.12</v>
      </c>
      <c r="E50" s="24">
        <v>1.8</v>
      </c>
      <c r="F50" s="24">
        <v>1.2</v>
      </c>
      <c r="G50" s="24">
        <v>0</v>
      </c>
      <c r="H50" s="24">
        <v>0</v>
      </c>
      <c r="I50" s="24">
        <v>16</v>
      </c>
      <c r="J50" s="24">
        <f t="shared" si="1"/>
        <v>21.12</v>
      </c>
      <c r="K50" s="24" t="s">
        <v>475</v>
      </c>
      <c r="L50" s="25">
        <f t="shared" si="8"/>
        <v>21.12</v>
      </c>
    </row>
    <row r="51" spans="1:12">
      <c r="A51" s="27">
        <v>39</v>
      </c>
      <c r="B51" s="45">
        <v>200940802</v>
      </c>
      <c r="C51" s="46" t="s">
        <v>84</v>
      </c>
      <c r="D51" s="24">
        <v>5.65</v>
      </c>
      <c r="E51" s="24">
        <v>4.2</v>
      </c>
      <c r="F51" s="24">
        <v>3.9</v>
      </c>
      <c r="G51" s="24">
        <v>9.6</v>
      </c>
      <c r="H51" s="24">
        <v>7.68</v>
      </c>
      <c r="I51" s="24">
        <v>16</v>
      </c>
      <c r="J51" s="24">
        <f t="shared" si="1"/>
        <v>47.03</v>
      </c>
      <c r="K51" s="24">
        <v>10.8</v>
      </c>
      <c r="L51" s="25">
        <f t="shared" si="0"/>
        <v>57.83</v>
      </c>
    </row>
    <row r="52" spans="1:12">
      <c r="A52" s="27">
        <v>40</v>
      </c>
      <c r="B52" s="45">
        <v>200942768</v>
      </c>
      <c r="C52" s="46" t="s">
        <v>85</v>
      </c>
      <c r="D52" s="24">
        <v>4.59</v>
      </c>
      <c r="E52" s="24">
        <v>2</v>
      </c>
      <c r="F52" s="24">
        <v>1.35</v>
      </c>
      <c r="G52" s="24">
        <v>3.6</v>
      </c>
      <c r="H52" s="24">
        <v>0</v>
      </c>
      <c r="I52" s="24">
        <v>16</v>
      </c>
      <c r="J52" s="24">
        <f t="shared" si="1"/>
        <v>27.540000000000003</v>
      </c>
      <c r="K52" s="24" t="s">
        <v>475</v>
      </c>
      <c r="L52" s="25">
        <f>+J52</f>
        <v>27.540000000000003</v>
      </c>
    </row>
    <row r="53" spans="1:12">
      <c r="A53" s="27">
        <v>41</v>
      </c>
      <c r="B53" s="37">
        <v>200943635</v>
      </c>
      <c r="C53" s="38" t="s">
        <v>86</v>
      </c>
      <c r="D53" s="24">
        <v>6.71</v>
      </c>
      <c r="E53" s="24">
        <v>4.8</v>
      </c>
      <c r="F53" s="24">
        <v>4.95</v>
      </c>
      <c r="G53" s="24">
        <v>10.8</v>
      </c>
      <c r="H53" s="24">
        <v>7.2</v>
      </c>
      <c r="I53" s="24">
        <v>16</v>
      </c>
      <c r="J53" s="24">
        <f t="shared" si="1"/>
        <v>50.46</v>
      </c>
      <c r="K53" s="24">
        <v>14.4</v>
      </c>
      <c r="L53" s="25">
        <f t="shared" si="0"/>
        <v>64.86</v>
      </c>
    </row>
    <row r="54" spans="1:12">
      <c r="A54" s="27">
        <v>42</v>
      </c>
      <c r="B54" s="37">
        <v>200944076</v>
      </c>
      <c r="C54" s="38" t="s">
        <v>87</v>
      </c>
      <c r="D54" s="24">
        <v>3.18</v>
      </c>
      <c r="E54" s="24">
        <v>3.4</v>
      </c>
      <c r="F54" s="24">
        <v>2.7</v>
      </c>
      <c r="G54" s="24">
        <v>7.8</v>
      </c>
      <c r="H54" s="24">
        <v>2.64</v>
      </c>
      <c r="I54" s="24">
        <v>16</v>
      </c>
      <c r="J54" s="24">
        <f t="shared" si="1"/>
        <v>35.72</v>
      </c>
      <c r="K54" s="24" t="s">
        <v>475</v>
      </c>
      <c r="L54" s="25">
        <f>+J54</f>
        <v>35.72</v>
      </c>
    </row>
    <row r="55" spans="1:12">
      <c r="A55" s="27">
        <v>43</v>
      </c>
      <c r="B55" s="37">
        <v>200944407</v>
      </c>
      <c r="C55" s="38" t="s">
        <v>88</v>
      </c>
      <c r="D55" s="24">
        <v>3.88</v>
      </c>
      <c r="E55" s="24">
        <v>2.4</v>
      </c>
      <c r="F55" s="24">
        <v>1.65</v>
      </c>
      <c r="G55" s="24">
        <v>0</v>
      </c>
      <c r="H55" s="24">
        <v>0</v>
      </c>
      <c r="I55" s="24">
        <v>16</v>
      </c>
      <c r="J55" s="24">
        <f t="shared" si="1"/>
        <v>23.929999999999996</v>
      </c>
      <c r="K55" s="24" t="s">
        <v>475</v>
      </c>
      <c r="L55" s="25">
        <f>+J55</f>
        <v>23.929999999999996</v>
      </c>
    </row>
    <row r="56" spans="1:12">
      <c r="A56" s="27">
        <v>44</v>
      </c>
      <c r="B56" s="37">
        <v>200945275</v>
      </c>
      <c r="C56" s="38" t="s">
        <v>89</v>
      </c>
      <c r="D56" s="24">
        <v>6.35</v>
      </c>
      <c r="E56" s="24">
        <v>4.8</v>
      </c>
      <c r="F56" s="24">
        <v>4.05</v>
      </c>
      <c r="G56" s="24">
        <v>10.199999999999999</v>
      </c>
      <c r="H56" s="24">
        <v>6.96</v>
      </c>
      <c r="I56" s="24">
        <v>16</v>
      </c>
      <c r="J56" s="24">
        <f t="shared" si="1"/>
        <v>48.359999999999992</v>
      </c>
      <c r="K56" s="24">
        <v>14.8</v>
      </c>
      <c r="L56" s="25">
        <f t="shared" si="0"/>
        <v>63.16</v>
      </c>
    </row>
    <row r="57" spans="1:12">
      <c r="A57" s="27">
        <v>45</v>
      </c>
      <c r="B57" s="37">
        <v>200945795</v>
      </c>
      <c r="C57" s="38" t="s">
        <v>90</v>
      </c>
      <c r="D57" s="24">
        <v>3.53</v>
      </c>
      <c r="E57" s="24">
        <v>1.8</v>
      </c>
      <c r="F57" s="24">
        <v>0.6</v>
      </c>
      <c r="G57" s="24">
        <v>3.6</v>
      </c>
      <c r="H57" s="24">
        <v>0</v>
      </c>
      <c r="I57" s="24">
        <v>16</v>
      </c>
      <c r="J57" s="24">
        <f t="shared" si="1"/>
        <v>25.530000000000005</v>
      </c>
      <c r="K57" s="24" t="s">
        <v>475</v>
      </c>
      <c r="L57" s="25">
        <f>+J57</f>
        <v>25.530000000000005</v>
      </c>
    </row>
    <row r="58" spans="1:12">
      <c r="A58" s="29"/>
      <c r="B58" s="29"/>
      <c r="C58" s="30"/>
      <c r="D58" s="31"/>
      <c r="E58" s="31"/>
      <c r="F58" s="31"/>
      <c r="G58" s="31"/>
      <c r="H58" s="31"/>
      <c r="I58" s="31"/>
      <c r="J58" s="31"/>
      <c r="K58" s="31"/>
      <c r="L58" s="32"/>
    </row>
    <row r="59" spans="1:12">
      <c r="A59" s="29"/>
      <c r="B59" s="29"/>
      <c r="C59" s="30"/>
      <c r="D59" s="31"/>
      <c r="E59" s="31"/>
      <c r="F59" s="31"/>
      <c r="G59" s="31"/>
      <c r="H59" s="31"/>
      <c r="I59" s="31"/>
      <c r="J59" s="31"/>
      <c r="K59" s="31"/>
      <c r="L59" s="32"/>
    </row>
    <row r="60" spans="1:12" ht="17.25" thickBot="1">
      <c r="A60" s="33"/>
      <c r="B60" s="33"/>
      <c r="C60" s="34"/>
      <c r="D60" s="31"/>
      <c r="E60" s="31"/>
      <c r="F60" s="31"/>
      <c r="G60" s="31"/>
      <c r="H60" s="35"/>
      <c r="I60" s="35"/>
      <c r="J60" s="35"/>
      <c r="K60" s="9"/>
      <c r="L60" s="32"/>
    </row>
    <row r="61" spans="1:12">
      <c r="H61" s="100" t="s">
        <v>464</v>
      </c>
      <c r="I61" s="100"/>
      <c r="J61" s="100"/>
      <c r="L61" s="1"/>
    </row>
    <row r="62" spans="1:12">
      <c r="D62" s="36"/>
      <c r="H62" s="100" t="s">
        <v>430</v>
      </c>
      <c r="I62" s="100"/>
      <c r="J62" s="100"/>
      <c r="L62" s="1"/>
    </row>
    <row r="63" spans="1:12">
      <c r="D63" s="36"/>
      <c r="H63" s="100" t="s">
        <v>465</v>
      </c>
      <c r="I63" s="100"/>
      <c r="J63" s="100"/>
      <c r="L63" s="1"/>
    </row>
    <row r="85" spans="1:12" ht="17.25" thickBot="1">
      <c r="A85" s="1" t="s">
        <v>0</v>
      </c>
      <c r="I85" s="3"/>
    </row>
    <row r="86" spans="1:12">
      <c r="A86" s="1" t="s">
        <v>1</v>
      </c>
      <c r="F86" s="4"/>
      <c r="G86" s="5"/>
      <c r="H86" s="6"/>
      <c r="I86" s="7"/>
    </row>
    <row r="87" spans="1:12">
      <c r="A87" s="8" t="s">
        <v>2</v>
      </c>
      <c r="B87" s="9"/>
      <c r="E87" s="7"/>
      <c r="F87" s="10"/>
      <c r="G87" s="11"/>
      <c r="H87" s="12"/>
      <c r="I87" s="7"/>
    </row>
    <row r="88" spans="1:12" ht="17.25" thickBot="1">
      <c r="A88" s="13" t="s">
        <v>3</v>
      </c>
      <c r="B88" s="9"/>
      <c r="E88" s="7"/>
      <c r="F88" s="10"/>
      <c r="G88" s="11"/>
      <c r="H88" s="12"/>
      <c r="I88" s="7"/>
    </row>
    <row r="89" spans="1:12" ht="17.25" thickBot="1">
      <c r="A89" s="14" t="s">
        <v>22</v>
      </c>
      <c r="B89" s="15"/>
      <c r="C89" s="16"/>
      <c r="E89" s="7"/>
      <c r="F89" s="17"/>
      <c r="G89" s="18"/>
      <c r="H89" s="19"/>
      <c r="I89" s="7"/>
    </row>
    <row r="90" spans="1:12">
      <c r="A90" s="8"/>
      <c r="B90" s="9"/>
      <c r="E90" s="7"/>
      <c r="I90" s="3"/>
    </row>
    <row r="91" spans="1:12">
      <c r="A91" s="1" t="s">
        <v>91</v>
      </c>
      <c r="B91" s="9"/>
      <c r="C91" s="20" t="s">
        <v>99</v>
      </c>
      <c r="E91" s="7"/>
      <c r="I91" s="3"/>
    </row>
    <row r="92" spans="1:12">
      <c r="A92" s="1" t="s">
        <v>4</v>
      </c>
      <c r="C92" s="20" t="s">
        <v>462</v>
      </c>
      <c r="I92" s="3"/>
    </row>
    <row r="93" spans="1:12">
      <c r="A93" s="1" t="s">
        <v>5</v>
      </c>
      <c r="C93" s="20" t="s">
        <v>466</v>
      </c>
    </row>
    <row r="94" spans="1:12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2">
      <c r="A95" s="1"/>
      <c r="C95" s="22" t="s">
        <v>6</v>
      </c>
      <c r="D95" s="22" t="s">
        <v>435</v>
      </c>
      <c r="E95" s="22" t="s">
        <v>435</v>
      </c>
      <c r="F95" s="22" t="s">
        <v>435</v>
      </c>
      <c r="G95" s="22" t="s">
        <v>435</v>
      </c>
      <c r="H95" s="22" t="s">
        <v>435</v>
      </c>
      <c r="I95" s="22" t="s">
        <v>7</v>
      </c>
      <c r="J95" s="22" t="s">
        <v>8</v>
      </c>
      <c r="K95" s="22" t="s">
        <v>7</v>
      </c>
      <c r="L95" s="22" t="s">
        <v>9</v>
      </c>
    </row>
    <row r="96" spans="1:12">
      <c r="A96" s="22" t="s">
        <v>10</v>
      </c>
      <c r="B96" s="22" t="s">
        <v>11</v>
      </c>
      <c r="C96" s="22" t="s">
        <v>12</v>
      </c>
      <c r="D96" s="22" t="s">
        <v>13</v>
      </c>
      <c r="E96" s="22" t="s">
        <v>14</v>
      </c>
      <c r="F96" s="22" t="s">
        <v>15</v>
      </c>
      <c r="G96" s="22" t="s">
        <v>16</v>
      </c>
      <c r="H96" s="22" t="s">
        <v>17</v>
      </c>
      <c r="I96" s="22" t="s">
        <v>95</v>
      </c>
      <c r="J96" s="22" t="s">
        <v>18</v>
      </c>
      <c r="K96" s="22" t="s">
        <v>19</v>
      </c>
      <c r="L96" s="22" t="s">
        <v>20</v>
      </c>
    </row>
    <row r="97" spans="1:12">
      <c r="A97" s="23">
        <v>1</v>
      </c>
      <c r="B97" s="37">
        <v>200840061</v>
      </c>
      <c r="C97" s="51" t="s">
        <v>108</v>
      </c>
      <c r="D97" s="24">
        <v>3.18</v>
      </c>
      <c r="E97" s="24">
        <v>7.2</v>
      </c>
      <c r="F97" s="24">
        <v>1.95</v>
      </c>
      <c r="G97" s="24">
        <v>0</v>
      </c>
      <c r="H97" s="24">
        <v>0</v>
      </c>
      <c r="I97" s="24">
        <v>0</v>
      </c>
      <c r="J97" s="24">
        <f>+I97+H97+G97+F97+E97+D97</f>
        <v>12.33</v>
      </c>
      <c r="K97" s="24" t="s">
        <v>475</v>
      </c>
      <c r="L97" s="25">
        <f>+J97</f>
        <v>12.33</v>
      </c>
    </row>
    <row r="98" spans="1:12">
      <c r="A98" s="26">
        <v>2</v>
      </c>
      <c r="B98" s="37">
        <v>200840078</v>
      </c>
      <c r="C98" s="51" t="s">
        <v>110</v>
      </c>
      <c r="D98" s="24">
        <v>2.1800000000000002</v>
      </c>
      <c r="E98" s="24">
        <v>4.8</v>
      </c>
      <c r="F98" s="24">
        <v>0</v>
      </c>
      <c r="G98" s="24">
        <v>0</v>
      </c>
      <c r="H98" s="24">
        <v>0</v>
      </c>
      <c r="I98" s="24">
        <v>0</v>
      </c>
      <c r="J98" s="24">
        <f t="shared" ref="J98:J147" si="9">+I98+H98+G98+F98+E98+D98</f>
        <v>6.98</v>
      </c>
      <c r="K98" s="24" t="s">
        <v>475</v>
      </c>
      <c r="L98" s="25">
        <f t="shared" ref="L98:L99" si="10">+J98</f>
        <v>6.98</v>
      </c>
    </row>
    <row r="99" spans="1:12">
      <c r="A99" s="27">
        <v>3</v>
      </c>
      <c r="B99" s="37">
        <v>200840195</v>
      </c>
      <c r="C99" s="51" t="s">
        <v>113</v>
      </c>
      <c r="D99" s="24">
        <v>2.11</v>
      </c>
      <c r="E99" s="24">
        <v>3.84</v>
      </c>
      <c r="F99" s="24">
        <v>2.7</v>
      </c>
      <c r="G99" s="24">
        <v>4.8</v>
      </c>
      <c r="H99" s="24">
        <v>3.36</v>
      </c>
      <c r="I99" s="24">
        <v>15.5</v>
      </c>
      <c r="J99" s="24">
        <f t="shared" si="9"/>
        <v>32.31</v>
      </c>
      <c r="K99" s="24" t="s">
        <v>475</v>
      </c>
      <c r="L99" s="25">
        <f t="shared" si="10"/>
        <v>32.31</v>
      </c>
    </row>
    <row r="100" spans="1:12">
      <c r="A100" s="26">
        <v>4</v>
      </c>
      <c r="B100" s="37">
        <v>200840212</v>
      </c>
      <c r="C100" s="51" t="s">
        <v>116</v>
      </c>
      <c r="D100" s="24">
        <v>4.2300000000000004</v>
      </c>
      <c r="E100" s="24">
        <v>5.76</v>
      </c>
      <c r="F100" s="24">
        <v>4.2</v>
      </c>
      <c r="G100" s="24">
        <v>8.4</v>
      </c>
      <c r="H100" s="24">
        <v>5.76</v>
      </c>
      <c r="I100" s="24">
        <v>14.5</v>
      </c>
      <c r="J100" s="24">
        <f t="shared" si="9"/>
        <v>42.849999999999994</v>
      </c>
      <c r="K100" s="24">
        <v>6.4</v>
      </c>
      <c r="L100" s="25">
        <f t="shared" ref="L100:L147" si="11">+K100+J100</f>
        <v>49.249999999999993</v>
      </c>
    </row>
    <row r="101" spans="1:12">
      <c r="A101" s="26">
        <v>5</v>
      </c>
      <c r="B101" s="37">
        <v>200840224</v>
      </c>
      <c r="C101" s="51" t="s">
        <v>117</v>
      </c>
      <c r="D101" s="24">
        <v>5.12</v>
      </c>
      <c r="E101" s="24">
        <v>8.16</v>
      </c>
      <c r="F101" s="24">
        <v>8.1</v>
      </c>
      <c r="G101" s="24">
        <v>10.199999999999999</v>
      </c>
      <c r="H101" s="24">
        <v>8.64</v>
      </c>
      <c r="I101" s="24">
        <v>14.5</v>
      </c>
      <c r="J101" s="24">
        <f t="shared" si="9"/>
        <v>54.720000000000006</v>
      </c>
      <c r="K101" s="24">
        <v>10.4</v>
      </c>
      <c r="L101" s="25">
        <f t="shared" si="11"/>
        <v>65.12</v>
      </c>
    </row>
    <row r="102" spans="1:12">
      <c r="A102" s="26">
        <v>6</v>
      </c>
      <c r="B102" s="37">
        <v>200840227</v>
      </c>
      <c r="C102" s="51" t="s">
        <v>118</v>
      </c>
      <c r="D102" s="24">
        <v>3.35</v>
      </c>
      <c r="E102" s="24">
        <v>4.8</v>
      </c>
      <c r="F102" s="24">
        <v>5.0999999999999996</v>
      </c>
      <c r="G102" s="24">
        <v>6.6</v>
      </c>
      <c r="H102" s="24">
        <v>5.76</v>
      </c>
      <c r="I102" s="24">
        <v>15.5</v>
      </c>
      <c r="J102" s="24">
        <f t="shared" si="9"/>
        <v>41.11</v>
      </c>
      <c r="K102" s="24">
        <v>11.2</v>
      </c>
      <c r="L102" s="25">
        <f t="shared" si="11"/>
        <v>52.31</v>
      </c>
    </row>
    <row r="103" spans="1:12">
      <c r="A103" s="26">
        <v>7</v>
      </c>
      <c r="B103" s="40">
        <v>200843271</v>
      </c>
      <c r="C103" s="53" t="s">
        <v>124</v>
      </c>
      <c r="D103" s="24">
        <v>2.97</v>
      </c>
      <c r="E103" s="24">
        <v>2.88</v>
      </c>
      <c r="F103" s="24">
        <v>1.5</v>
      </c>
      <c r="G103" s="24">
        <v>0</v>
      </c>
      <c r="H103" s="24">
        <v>0</v>
      </c>
      <c r="I103" s="24">
        <v>0</v>
      </c>
      <c r="J103" s="24">
        <f t="shared" si="9"/>
        <v>7.35</v>
      </c>
      <c r="K103" s="24" t="s">
        <v>475</v>
      </c>
      <c r="L103" s="25">
        <f>+J103</f>
        <v>7.35</v>
      </c>
    </row>
    <row r="104" spans="1:12">
      <c r="A104" s="26">
        <v>8</v>
      </c>
      <c r="B104" s="37">
        <v>200843353</v>
      </c>
      <c r="C104" s="51" t="s">
        <v>125</v>
      </c>
      <c r="D104" s="24">
        <v>1.41</v>
      </c>
      <c r="E104" s="24">
        <v>4.8</v>
      </c>
      <c r="F104" s="24">
        <v>1.8</v>
      </c>
      <c r="G104" s="24">
        <v>7.2</v>
      </c>
      <c r="H104" s="24">
        <v>0</v>
      </c>
      <c r="I104" s="24">
        <v>0</v>
      </c>
      <c r="J104" s="24">
        <f t="shared" si="9"/>
        <v>15.21</v>
      </c>
      <c r="K104" s="24" t="s">
        <v>475</v>
      </c>
      <c r="L104" s="25">
        <f t="shared" ref="L104:L105" si="12">+J104</f>
        <v>15.21</v>
      </c>
    </row>
    <row r="105" spans="1:12">
      <c r="A105" s="26">
        <v>9</v>
      </c>
      <c r="B105" s="37">
        <v>200940315</v>
      </c>
      <c r="C105" s="53" t="s">
        <v>126</v>
      </c>
      <c r="D105" s="24">
        <v>2.91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f t="shared" si="9"/>
        <v>2.91</v>
      </c>
      <c r="K105" s="24" t="s">
        <v>475</v>
      </c>
      <c r="L105" s="25">
        <f t="shared" si="12"/>
        <v>2.91</v>
      </c>
    </row>
    <row r="106" spans="1:12">
      <c r="A106" s="26">
        <v>10</v>
      </c>
      <c r="B106" s="37">
        <v>200940317</v>
      </c>
      <c r="C106" s="51" t="s">
        <v>127</v>
      </c>
      <c r="D106" s="24">
        <v>5.29</v>
      </c>
      <c r="E106" s="24">
        <v>4.32</v>
      </c>
      <c r="F106" s="24">
        <v>6.15</v>
      </c>
      <c r="G106" s="24">
        <v>10.8</v>
      </c>
      <c r="H106" s="24">
        <v>7.2</v>
      </c>
      <c r="I106" s="24">
        <v>14.8</v>
      </c>
      <c r="J106" s="24">
        <f t="shared" si="9"/>
        <v>48.559999999999995</v>
      </c>
      <c r="K106" s="24">
        <v>14.8</v>
      </c>
      <c r="L106" s="25">
        <f t="shared" si="11"/>
        <v>63.36</v>
      </c>
    </row>
    <row r="107" spans="1:12">
      <c r="A107" s="26">
        <v>11</v>
      </c>
      <c r="B107" s="37">
        <v>200940331</v>
      </c>
      <c r="C107" s="51" t="s">
        <v>128</v>
      </c>
      <c r="D107" s="24">
        <v>4.59</v>
      </c>
      <c r="E107" s="24">
        <v>4.8</v>
      </c>
      <c r="F107" s="24">
        <v>4.6500000000000004</v>
      </c>
      <c r="G107" s="24">
        <v>7.8</v>
      </c>
      <c r="H107" s="28">
        <v>5.28</v>
      </c>
      <c r="I107" s="28">
        <v>15</v>
      </c>
      <c r="J107" s="24">
        <f t="shared" si="9"/>
        <v>42.120000000000005</v>
      </c>
      <c r="K107" s="24">
        <v>15.2</v>
      </c>
      <c r="L107" s="25">
        <f t="shared" si="11"/>
        <v>57.320000000000007</v>
      </c>
    </row>
    <row r="108" spans="1:12">
      <c r="A108" s="26">
        <v>12</v>
      </c>
      <c r="B108" s="37">
        <v>200940334</v>
      </c>
      <c r="C108" s="53" t="s">
        <v>129</v>
      </c>
      <c r="D108" s="24">
        <v>5.65</v>
      </c>
      <c r="E108" s="24">
        <v>6.24</v>
      </c>
      <c r="F108" s="24">
        <v>3.75</v>
      </c>
      <c r="G108" s="24">
        <v>9</v>
      </c>
      <c r="H108" s="28">
        <v>9.6</v>
      </c>
      <c r="I108" s="28">
        <v>14.5</v>
      </c>
      <c r="J108" s="24">
        <f t="shared" si="9"/>
        <v>48.74</v>
      </c>
      <c r="K108" s="24">
        <v>14.4</v>
      </c>
      <c r="L108" s="25">
        <f t="shared" si="11"/>
        <v>63.14</v>
      </c>
    </row>
    <row r="109" spans="1:12">
      <c r="A109" s="26">
        <v>13</v>
      </c>
      <c r="B109" s="40">
        <v>200940336</v>
      </c>
      <c r="C109" s="54" t="s">
        <v>130</v>
      </c>
      <c r="D109" s="24">
        <v>5.91</v>
      </c>
      <c r="E109" s="24">
        <v>5.76</v>
      </c>
      <c r="F109" s="24">
        <v>6.9</v>
      </c>
      <c r="G109" s="24">
        <v>10.8</v>
      </c>
      <c r="H109" s="28">
        <v>5.28</v>
      </c>
      <c r="I109" s="28">
        <v>15</v>
      </c>
      <c r="J109" s="24">
        <f t="shared" si="9"/>
        <v>49.650000000000006</v>
      </c>
      <c r="K109" s="24">
        <v>13.6</v>
      </c>
      <c r="L109" s="25">
        <f t="shared" si="11"/>
        <v>63.250000000000007</v>
      </c>
    </row>
    <row r="110" spans="1:12">
      <c r="A110" s="23">
        <v>14</v>
      </c>
      <c r="B110" s="37">
        <v>200940345</v>
      </c>
      <c r="C110" s="51" t="s">
        <v>131</v>
      </c>
      <c r="D110" s="24">
        <v>5.29</v>
      </c>
      <c r="E110" s="24">
        <v>7.2</v>
      </c>
      <c r="F110" s="24">
        <v>7.8</v>
      </c>
      <c r="G110" s="24">
        <v>8.4</v>
      </c>
      <c r="H110" s="28">
        <v>6.24</v>
      </c>
      <c r="I110" s="28">
        <v>14.8</v>
      </c>
      <c r="J110" s="24">
        <f t="shared" si="9"/>
        <v>49.73</v>
      </c>
      <c r="K110" s="24">
        <v>16.8</v>
      </c>
      <c r="L110" s="25">
        <f t="shared" si="11"/>
        <v>66.53</v>
      </c>
    </row>
    <row r="111" spans="1:12">
      <c r="A111" s="23">
        <v>15</v>
      </c>
      <c r="B111" s="37">
        <v>200940347</v>
      </c>
      <c r="C111" s="51" t="s">
        <v>132</v>
      </c>
      <c r="D111" s="24">
        <v>3.35</v>
      </c>
      <c r="E111" s="24">
        <v>5.28</v>
      </c>
      <c r="F111" s="24">
        <v>3.3</v>
      </c>
      <c r="G111" s="24">
        <v>7.8</v>
      </c>
      <c r="H111" s="24">
        <v>0</v>
      </c>
      <c r="I111" s="24">
        <v>0</v>
      </c>
      <c r="J111" s="24">
        <f t="shared" si="9"/>
        <v>19.73</v>
      </c>
      <c r="K111" s="24" t="s">
        <v>475</v>
      </c>
      <c r="L111" s="25">
        <f>+J111</f>
        <v>19.73</v>
      </c>
    </row>
    <row r="112" spans="1:12">
      <c r="A112" s="23">
        <v>16</v>
      </c>
      <c r="B112" s="37">
        <v>200940349</v>
      </c>
      <c r="C112" s="53" t="s">
        <v>133</v>
      </c>
      <c r="D112" s="24">
        <v>7.23</v>
      </c>
      <c r="E112" s="24">
        <v>5.76</v>
      </c>
      <c r="F112" s="24">
        <v>8.5500000000000007</v>
      </c>
      <c r="G112" s="24">
        <v>10.199999999999999</v>
      </c>
      <c r="H112" s="24">
        <v>8.16</v>
      </c>
      <c r="I112" s="24">
        <v>15</v>
      </c>
      <c r="J112" s="24">
        <f t="shared" si="9"/>
        <v>54.899999999999991</v>
      </c>
      <c r="K112" s="24">
        <v>12.8</v>
      </c>
      <c r="L112" s="25">
        <f t="shared" si="11"/>
        <v>67.699999999999989</v>
      </c>
    </row>
    <row r="113" spans="1:12">
      <c r="A113" s="23">
        <v>17</v>
      </c>
      <c r="B113" s="37">
        <v>200940350</v>
      </c>
      <c r="C113" s="51" t="s">
        <v>134</v>
      </c>
      <c r="D113" s="24">
        <v>7.06</v>
      </c>
      <c r="E113" s="24">
        <v>9.6</v>
      </c>
      <c r="F113" s="24">
        <v>6.3</v>
      </c>
      <c r="G113" s="24">
        <v>9.6</v>
      </c>
      <c r="H113" s="24">
        <v>6.72</v>
      </c>
      <c r="I113" s="24">
        <v>14.8</v>
      </c>
      <c r="J113" s="24">
        <f t="shared" si="9"/>
        <v>54.08</v>
      </c>
      <c r="K113" s="24">
        <v>13.6</v>
      </c>
      <c r="L113" s="25">
        <f t="shared" si="11"/>
        <v>67.679999999999993</v>
      </c>
    </row>
    <row r="114" spans="1:12">
      <c r="A114" s="27">
        <v>18</v>
      </c>
      <c r="B114" s="37">
        <v>200940483</v>
      </c>
      <c r="C114" s="51" t="s">
        <v>135</v>
      </c>
      <c r="D114" s="24">
        <v>6.53</v>
      </c>
      <c r="E114" s="24">
        <v>5.76</v>
      </c>
      <c r="F114" s="24">
        <v>6</v>
      </c>
      <c r="G114" s="24">
        <v>10.8</v>
      </c>
      <c r="H114" s="24">
        <v>7.2</v>
      </c>
      <c r="I114" s="24">
        <v>14.8</v>
      </c>
      <c r="J114" s="24">
        <f t="shared" si="9"/>
        <v>51.089999999999996</v>
      </c>
      <c r="K114" s="24">
        <v>16.8</v>
      </c>
      <c r="L114" s="25">
        <f t="shared" si="11"/>
        <v>67.89</v>
      </c>
    </row>
    <row r="115" spans="1:12">
      <c r="A115" s="27">
        <v>19</v>
      </c>
      <c r="B115" s="37">
        <v>200940489</v>
      </c>
      <c r="C115" s="51" t="s">
        <v>136</v>
      </c>
      <c r="D115" s="24">
        <v>6.53</v>
      </c>
      <c r="E115" s="24">
        <v>7.2</v>
      </c>
      <c r="F115" s="24">
        <v>4.5</v>
      </c>
      <c r="G115" s="24">
        <v>11.4</v>
      </c>
      <c r="H115" s="24">
        <v>8.4</v>
      </c>
      <c r="I115" s="24">
        <v>15</v>
      </c>
      <c r="J115" s="24">
        <f t="shared" si="9"/>
        <v>53.03</v>
      </c>
      <c r="K115" s="24">
        <v>14.4</v>
      </c>
      <c r="L115" s="25">
        <f t="shared" si="11"/>
        <v>67.430000000000007</v>
      </c>
    </row>
    <row r="116" spans="1:12">
      <c r="A116" s="27">
        <v>20</v>
      </c>
      <c r="B116" s="37">
        <v>200940504</v>
      </c>
      <c r="C116" s="51" t="s">
        <v>137</v>
      </c>
      <c r="D116" s="24">
        <v>5.64</v>
      </c>
      <c r="E116" s="24">
        <v>8.64</v>
      </c>
      <c r="F116" s="24">
        <v>3.3</v>
      </c>
      <c r="G116" s="24">
        <v>0</v>
      </c>
      <c r="H116" s="24">
        <v>0</v>
      </c>
      <c r="I116" s="24">
        <v>0</v>
      </c>
      <c r="J116" s="24">
        <f t="shared" si="9"/>
        <v>17.580000000000002</v>
      </c>
      <c r="K116" s="24" t="s">
        <v>475</v>
      </c>
      <c r="L116" s="25">
        <f>+J116</f>
        <v>17.580000000000002</v>
      </c>
    </row>
    <row r="117" spans="1:12">
      <c r="A117" s="27">
        <v>21</v>
      </c>
      <c r="B117" s="37">
        <v>200940512</v>
      </c>
      <c r="C117" s="51" t="s">
        <v>138</v>
      </c>
      <c r="D117" s="24">
        <v>2.4700000000000002</v>
      </c>
      <c r="E117" s="24">
        <v>4.8</v>
      </c>
      <c r="F117" s="24">
        <v>4.6500000000000004</v>
      </c>
      <c r="G117" s="24">
        <v>9.6</v>
      </c>
      <c r="H117" s="24">
        <v>7.2</v>
      </c>
      <c r="I117" s="24">
        <v>14.8</v>
      </c>
      <c r="J117" s="24">
        <f t="shared" si="9"/>
        <v>43.519999999999996</v>
      </c>
      <c r="K117" s="24">
        <v>14.4</v>
      </c>
      <c r="L117" s="25">
        <f t="shared" si="11"/>
        <v>57.919999999999995</v>
      </c>
    </row>
    <row r="118" spans="1:12">
      <c r="A118" s="27">
        <v>22</v>
      </c>
      <c r="B118" s="37">
        <v>200940522</v>
      </c>
      <c r="C118" s="51" t="s">
        <v>139</v>
      </c>
      <c r="D118" s="24">
        <v>4.9400000000000004</v>
      </c>
      <c r="E118" s="24">
        <v>5.28</v>
      </c>
      <c r="F118" s="24">
        <v>4.5</v>
      </c>
      <c r="G118" s="24">
        <v>7.2</v>
      </c>
      <c r="H118" s="24">
        <v>4.8</v>
      </c>
      <c r="I118" s="24">
        <v>14.8</v>
      </c>
      <c r="J118" s="24">
        <f t="shared" si="9"/>
        <v>41.519999999999996</v>
      </c>
      <c r="K118" s="24">
        <v>7.6</v>
      </c>
      <c r="L118" s="25">
        <f t="shared" si="11"/>
        <v>49.12</v>
      </c>
    </row>
    <row r="119" spans="1:12">
      <c r="A119" s="27">
        <v>23</v>
      </c>
      <c r="B119" s="37">
        <v>200940526</v>
      </c>
      <c r="C119" s="51" t="s">
        <v>140</v>
      </c>
      <c r="D119" s="24">
        <v>1.76</v>
      </c>
      <c r="E119" s="24">
        <v>5.76</v>
      </c>
      <c r="F119" s="24">
        <v>2.1</v>
      </c>
      <c r="G119" s="24">
        <v>8.4</v>
      </c>
      <c r="H119" s="24">
        <v>2.16</v>
      </c>
      <c r="I119" s="24">
        <v>14.8</v>
      </c>
      <c r="J119" s="24">
        <f t="shared" si="9"/>
        <v>34.979999999999997</v>
      </c>
      <c r="K119" s="24" t="s">
        <v>475</v>
      </c>
      <c r="L119" s="25">
        <f>+J119</f>
        <v>34.979999999999997</v>
      </c>
    </row>
    <row r="120" spans="1:12">
      <c r="A120" s="27">
        <v>24</v>
      </c>
      <c r="B120" s="40">
        <v>200940527</v>
      </c>
      <c r="C120" s="52" t="s">
        <v>141</v>
      </c>
      <c r="D120" s="24">
        <v>6</v>
      </c>
      <c r="E120" s="24">
        <v>4.8</v>
      </c>
      <c r="F120" s="24">
        <v>6.3</v>
      </c>
      <c r="G120" s="24">
        <v>10.8</v>
      </c>
      <c r="H120" s="24">
        <v>4.8</v>
      </c>
      <c r="I120" s="24">
        <v>15</v>
      </c>
      <c r="J120" s="24">
        <f t="shared" si="9"/>
        <v>47.699999999999996</v>
      </c>
      <c r="K120" s="24">
        <v>14</v>
      </c>
      <c r="L120" s="25">
        <f t="shared" si="11"/>
        <v>61.699999999999996</v>
      </c>
    </row>
    <row r="121" spans="1:12">
      <c r="A121" s="27">
        <v>25</v>
      </c>
      <c r="B121" s="37">
        <v>200940534</v>
      </c>
      <c r="C121" s="51" t="s">
        <v>142</v>
      </c>
      <c r="D121" s="24">
        <v>4.32</v>
      </c>
      <c r="E121" s="24">
        <v>6.75</v>
      </c>
      <c r="F121" s="24">
        <v>4.8</v>
      </c>
      <c r="G121" s="24">
        <v>10.199999999999999</v>
      </c>
      <c r="H121" s="24">
        <v>8.16</v>
      </c>
      <c r="I121" s="24">
        <v>14.8</v>
      </c>
      <c r="J121" s="24">
        <f t="shared" si="9"/>
        <v>49.029999999999994</v>
      </c>
      <c r="K121" s="24">
        <v>16</v>
      </c>
      <c r="L121" s="25">
        <f t="shared" si="11"/>
        <v>65.03</v>
      </c>
    </row>
    <row r="122" spans="1:12">
      <c r="A122" s="27">
        <v>26</v>
      </c>
      <c r="B122" s="37">
        <v>200940535</v>
      </c>
      <c r="C122" s="51" t="s">
        <v>143</v>
      </c>
      <c r="D122" s="24">
        <v>4.9400000000000004</v>
      </c>
      <c r="E122" s="24">
        <v>6.72</v>
      </c>
      <c r="F122" s="24">
        <v>4.5</v>
      </c>
      <c r="G122" s="24">
        <v>10.8</v>
      </c>
      <c r="H122" s="24">
        <v>8.16</v>
      </c>
      <c r="I122" s="24">
        <v>14.8</v>
      </c>
      <c r="J122" s="24">
        <f t="shared" si="9"/>
        <v>49.92</v>
      </c>
      <c r="K122" s="24">
        <v>17.2</v>
      </c>
      <c r="L122" s="25">
        <f t="shared" si="11"/>
        <v>67.12</v>
      </c>
    </row>
    <row r="123" spans="1:12">
      <c r="A123" s="27">
        <v>27</v>
      </c>
      <c r="B123" s="37">
        <v>200940813</v>
      </c>
      <c r="C123" s="51" t="s">
        <v>144</v>
      </c>
      <c r="D123" s="24">
        <v>1.41</v>
      </c>
      <c r="E123" s="24">
        <v>1.92</v>
      </c>
      <c r="F123" s="24">
        <v>3.15</v>
      </c>
      <c r="G123" s="24">
        <v>6.6</v>
      </c>
      <c r="H123" s="24">
        <v>6.24</v>
      </c>
      <c r="I123" s="24">
        <v>14.8</v>
      </c>
      <c r="J123" s="24">
        <f t="shared" si="9"/>
        <v>34.119999999999997</v>
      </c>
      <c r="K123" s="24" t="s">
        <v>475</v>
      </c>
      <c r="L123" s="25">
        <f>+J123</f>
        <v>34.119999999999997</v>
      </c>
    </row>
    <row r="124" spans="1:12">
      <c r="A124" s="27">
        <v>28</v>
      </c>
      <c r="B124" s="40">
        <v>200940882</v>
      </c>
      <c r="C124" s="54" t="s">
        <v>145</v>
      </c>
      <c r="D124" s="24">
        <v>3.53</v>
      </c>
      <c r="E124" s="24">
        <v>4.8</v>
      </c>
      <c r="F124" s="24">
        <v>4.6500000000000004</v>
      </c>
      <c r="G124" s="24">
        <v>7.8</v>
      </c>
      <c r="H124" s="24">
        <v>5.28</v>
      </c>
      <c r="I124" s="24">
        <v>15.5</v>
      </c>
      <c r="J124" s="24">
        <f t="shared" si="9"/>
        <v>41.56</v>
      </c>
      <c r="K124" s="24">
        <v>10.8</v>
      </c>
      <c r="L124" s="25">
        <f t="shared" si="11"/>
        <v>52.36</v>
      </c>
    </row>
    <row r="125" spans="1:12">
      <c r="A125" s="27">
        <v>29</v>
      </c>
      <c r="B125" s="37">
        <v>200941031</v>
      </c>
      <c r="C125" s="51" t="s">
        <v>146</v>
      </c>
      <c r="D125" s="24">
        <v>7.06</v>
      </c>
      <c r="E125" s="24">
        <v>7.2</v>
      </c>
      <c r="F125" s="24">
        <v>8.25</v>
      </c>
      <c r="G125" s="24">
        <v>11.4</v>
      </c>
      <c r="H125" s="24">
        <v>8.16</v>
      </c>
      <c r="I125" s="24">
        <v>15.5</v>
      </c>
      <c r="J125" s="24">
        <f t="shared" si="9"/>
        <v>57.570000000000007</v>
      </c>
      <c r="K125" s="24">
        <v>18.399999999999999</v>
      </c>
      <c r="L125" s="25">
        <f t="shared" si="11"/>
        <v>75.97</v>
      </c>
    </row>
    <row r="126" spans="1:12">
      <c r="A126" s="27">
        <v>30</v>
      </c>
      <c r="B126" s="37">
        <v>200941043</v>
      </c>
      <c r="C126" s="53" t="s">
        <v>147</v>
      </c>
      <c r="D126" s="24">
        <v>6.7</v>
      </c>
      <c r="E126" s="24">
        <v>4.8</v>
      </c>
      <c r="F126" s="24">
        <v>6.15</v>
      </c>
      <c r="G126" s="24">
        <v>6.6</v>
      </c>
      <c r="H126" s="24">
        <v>5.28</v>
      </c>
      <c r="I126" s="24">
        <v>14.8</v>
      </c>
      <c r="J126" s="24">
        <f t="shared" si="9"/>
        <v>44.33</v>
      </c>
      <c r="K126" s="24">
        <v>14.4</v>
      </c>
      <c r="L126" s="25">
        <f t="shared" si="11"/>
        <v>58.73</v>
      </c>
    </row>
    <row r="127" spans="1:12">
      <c r="A127" s="27">
        <v>31</v>
      </c>
      <c r="B127" s="37">
        <v>200941044</v>
      </c>
      <c r="C127" s="51" t="s">
        <v>148</v>
      </c>
      <c r="D127" s="24">
        <v>8.0299999999999994</v>
      </c>
      <c r="E127" s="24">
        <v>9.6</v>
      </c>
      <c r="F127" s="24">
        <v>7.2</v>
      </c>
      <c r="G127" s="24">
        <v>10.8</v>
      </c>
      <c r="H127" s="24">
        <v>8.16</v>
      </c>
      <c r="I127" s="24">
        <v>15</v>
      </c>
      <c r="J127" s="24">
        <f t="shared" si="9"/>
        <v>58.790000000000006</v>
      </c>
      <c r="K127" s="24">
        <v>15.2</v>
      </c>
      <c r="L127" s="25">
        <f t="shared" si="11"/>
        <v>73.990000000000009</v>
      </c>
    </row>
    <row r="128" spans="1:12">
      <c r="A128" s="27">
        <v>32</v>
      </c>
      <c r="B128" s="40">
        <v>200941046</v>
      </c>
      <c r="C128" s="52" t="s">
        <v>149</v>
      </c>
      <c r="D128" s="24">
        <v>7.06</v>
      </c>
      <c r="E128" s="24">
        <v>5.76</v>
      </c>
      <c r="F128" s="24">
        <v>7.05</v>
      </c>
      <c r="G128" s="24">
        <v>9.6</v>
      </c>
      <c r="H128" s="24">
        <v>8.64</v>
      </c>
      <c r="I128" s="24">
        <v>14.5</v>
      </c>
      <c r="J128" s="24">
        <f t="shared" si="9"/>
        <v>52.61</v>
      </c>
      <c r="K128" s="24">
        <v>16.8</v>
      </c>
      <c r="L128" s="25">
        <f t="shared" si="11"/>
        <v>69.41</v>
      </c>
    </row>
    <row r="129" spans="1:12">
      <c r="A129" s="27">
        <v>33</v>
      </c>
      <c r="B129" s="40">
        <v>200941422</v>
      </c>
      <c r="C129" s="52" t="s">
        <v>150</v>
      </c>
      <c r="D129" s="24">
        <v>2.82</v>
      </c>
      <c r="E129" s="24">
        <v>3.36</v>
      </c>
      <c r="F129" s="24">
        <v>2.1</v>
      </c>
      <c r="G129" s="24">
        <v>6</v>
      </c>
      <c r="H129" s="24">
        <v>0</v>
      </c>
      <c r="I129" s="24">
        <v>0</v>
      </c>
      <c r="J129" s="24">
        <f>+I129+H129+G129+F129+E129+D129</f>
        <v>14.28</v>
      </c>
      <c r="K129" s="24" t="s">
        <v>475</v>
      </c>
      <c r="L129" s="25">
        <f>+J129</f>
        <v>14.28</v>
      </c>
    </row>
    <row r="130" spans="1:12">
      <c r="A130" s="27">
        <v>34</v>
      </c>
      <c r="B130" s="40">
        <v>200941434</v>
      </c>
      <c r="C130" s="55" t="s">
        <v>151</v>
      </c>
      <c r="D130" s="24">
        <v>3.88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f>+I130+H130+G130+F130+E130+D130</f>
        <v>3.88</v>
      </c>
      <c r="K130" s="24" t="s">
        <v>475</v>
      </c>
      <c r="L130" s="25">
        <f>+J130</f>
        <v>3.88</v>
      </c>
    </row>
    <row r="131" spans="1:12">
      <c r="A131" s="27">
        <v>35</v>
      </c>
      <c r="B131" s="37">
        <v>200941685</v>
      </c>
      <c r="C131" s="51" t="s">
        <v>152</v>
      </c>
      <c r="D131" s="24">
        <v>2.64</v>
      </c>
      <c r="E131" s="24">
        <v>5.76</v>
      </c>
      <c r="F131" s="24">
        <v>3</v>
      </c>
      <c r="G131" s="24">
        <v>9.6</v>
      </c>
      <c r="H131" s="24">
        <v>6.72</v>
      </c>
      <c r="I131" s="24">
        <v>14.8</v>
      </c>
      <c r="J131" s="24">
        <f t="shared" si="9"/>
        <v>42.519999999999996</v>
      </c>
      <c r="K131" s="24">
        <v>6.4</v>
      </c>
      <c r="L131" s="25">
        <f t="shared" si="11"/>
        <v>48.919999999999995</v>
      </c>
    </row>
    <row r="132" spans="1:12">
      <c r="A132" s="27">
        <v>36</v>
      </c>
      <c r="B132" s="37">
        <v>200941860</v>
      </c>
      <c r="C132" s="53" t="s">
        <v>153</v>
      </c>
      <c r="D132" s="24">
        <v>2.4700000000000002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f t="shared" si="9"/>
        <v>2.4700000000000002</v>
      </c>
      <c r="K132" s="24" t="s">
        <v>475</v>
      </c>
      <c r="L132" s="25">
        <f>+J132</f>
        <v>2.4700000000000002</v>
      </c>
    </row>
    <row r="133" spans="1:12">
      <c r="A133" s="27">
        <v>37</v>
      </c>
      <c r="B133" s="37">
        <v>200941896</v>
      </c>
      <c r="C133" s="51" t="s">
        <v>443</v>
      </c>
      <c r="D133" s="24">
        <v>6.35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f t="shared" si="9"/>
        <v>6.35</v>
      </c>
      <c r="K133" s="24" t="s">
        <v>475</v>
      </c>
      <c r="L133" s="25">
        <f t="shared" ref="L133:L134" si="13">+J133</f>
        <v>6.35</v>
      </c>
    </row>
    <row r="134" spans="1:12">
      <c r="A134" s="27">
        <v>38</v>
      </c>
      <c r="B134" s="37">
        <v>200942657</v>
      </c>
      <c r="C134" s="51" t="s">
        <v>154</v>
      </c>
      <c r="D134" s="24">
        <v>5.29</v>
      </c>
      <c r="E134" s="24">
        <v>6.72</v>
      </c>
      <c r="F134" s="24">
        <v>4.2</v>
      </c>
      <c r="G134" s="24">
        <v>0</v>
      </c>
      <c r="H134" s="24">
        <v>0</v>
      </c>
      <c r="I134" s="24">
        <v>0</v>
      </c>
      <c r="J134" s="24">
        <f t="shared" si="9"/>
        <v>16.21</v>
      </c>
      <c r="K134" s="24" t="s">
        <v>475</v>
      </c>
      <c r="L134" s="25">
        <f t="shared" si="13"/>
        <v>16.21</v>
      </c>
    </row>
    <row r="135" spans="1:12">
      <c r="A135" s="27">
        <v>39</v>
      </c>
      <c r="B135" s="37">
        <v>200942659</v>
      </c>
      <c r="C135" s="51" t="s">
        <v>155</v>
      </c>
      <c r="D135" s="24">
        <v>4.76</v>
      </c>
      <c r="E135" s="24">
        <v>5.76</v>
      </c>
      <c r="F135" s="24">
        <v>5.4</v>
      </c>
      <c r="G135" s="24">
        <v>11.4</v>
      </c>
      <c r="H135" s="24">
        <v>9.36</v>
      </c>
      <c r="I135" s="24">
        <v>14.8</v>
      </c>
      <c r="J135" s="24">
        <f t="shared" si="9"/>
        <v>51.48</v>
      </c>
      <c r="K135" s="24">
        <v>18.399999999999999</v>
      </c>
      <c r="L135" s="25">
        <f t="shared" si="11"/>
        <v>69.88</v>
      </c>
    </row>
    <row r="136" spans="1:12">
      <c r="A136" s="27">
        <v>40</v>
      </c>
      <c r="B136" s="37">
        <v>200942662</v>
      </c>
      <c r="C136" s="51" t="s">
        <v>156</v>
      </c>
      <c r="D136" s="24">
        <v>5.82</v>
      </c>
      <c r="E136" s="24">
        <v>5.76</v>
      </c>
      <c r="F136" s="24">
        <v>4.2</v>
      </c>
      <c r="G136" s="24">
        <v>10.8</v>
      </c>
      <c r="H136" s="24">
        <v>5.22</v>
      </c>
      <c r="I136" s="24">
        <v>14.8</v>
      </c>
      <c r="J136" s="24">
        <f t="shared" si="9"/>
        <v>46.6</v>
      </c>
      <c r="K136" s="24">
        <v>16</v>
      </c>
      <c r="L136" s="25">
        <f t="shared" si="11"/>
        <v>62.6</v>
      </c>
    </row>
    <row r="137" spans="1:12">
      <c r="A137" s="27">
        <v>41</v>
      </c>
      <c r="B137" s="49">
        <v>200942689</v>
      </c>
      <c r="C137" s="55" t="s">
        <v>157</v>
      </c>
      <c r="D137" s="24">
        <v>6.17</v>
      </c>
      <c r="E137" s="24">
        <v>4.8</v>
      </c>
      <c r="F137" s="24">
        <v>8.1</v>
      </c>
      <c r="G137" s="24">
        <v>10.8</v>
      </c>
      <c r="H137" s="24">
        <v>9.6</v>
      </c>
      <c r="I137" s="24">
        <v>15.5</v>
      </c>
      <c r="J137" s="24">
        <f t="shared" si="9"/>
        <v>54.970000000000006</v>
      </c>
      <c r="K137" s="24">
        <v>15.2</v>
      </c>
      <c r="L137" s="25">
        <f t="shared" si="11"/>
        <v>70.17</v>
      </c>
    </row>
    <row r="138" spans="1:12">
      <c r="A138" s="27">
        <v>42</v>
      </c>
      <c r="B138" s="45">
        <v>200942711</v>
      </c>
      <c r="C138" s="56" t="s">
        <v>158</v>
      </c>
      <c r="D138" s="24">
        <v>3.35</v>
      </c>
      <c r="E138" s="24">
        <v>4.8</v>
      </c>
      <c r="F138" s="24">
        <v>3.3</v>
      </c>
      <c r="G138" s="24">
        <v>7.2</v>
      </c>
      <c r="H138" s="24">
        <v>0</v>
      </c>
      <c r="I138" s="24">
        <v>0</v>
      </c>
      <c r="J138" s="24">
        <f t="shared" si="9"/>
        <v>18.650000000000002</v>
      </c>
      <c r="K138" s="24" t="s">
        <v>475</v>
      </c>
      <c r="L138" s="25">
        <f>+J138</f>
        <v>18.650000000000002</v>
      </c>
    </row>
    <row r="139" spans="1:12">
      <c r="A139" s="27">
        <v>43</v>
      </c>
      <c r="B139" s="45">
        <v>200942840</v>
      </c>
      <c r="C139" s="56" t="s">
        <v>159</v>
      </c>
      <c r="D139" s="24">
        <v>7.06</v>
      </c>
      <c r="E139" s="24">
        <v>8.16</v>
      </c>
      <c r="F139" s="24">
        <v>4.8</v>
      </c>
      <c r="G139" s="24">
        <v>11.4</v>
      </c>
      <c r="H139" s="24">
        <v>10.56</v>
      </c>
      <c r="I139" s="24">
        <v>14.8</v>
      </c>
      <c r="J139" s="24">
        <f t="shared" si="9"/>
        <v>56.78</v>
      </c>
      <c r="K139" s="24">
        <v>14.4</v>
      </c>
      <c r="L139" s="25">
        <f t="shared" si="11"/>
        <v>71.180000000000007</v>
      </c>
    </row>
    <row r="140" spans="1:12">
      <c r="A140" s="27">
        <v>44</v>
      </c>
      <c r="B140" s="45">
        <v>200943360</v>
      </c>
      <c r="C140" s="56" t="s">
        <v>160</v>
      </c>
      <c r="D140" s="24">
        <v>1.41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f t="shared" si="9"/>
        <v>1.41</v>
      </c>
      <c r="K140" s="24" t="s">
        <v>475</v>
      </c>
      <c r="L140" s="25">
        <f>+J140</f>
        <v>1.41</v>
      </c>
    </row>
    <row r="141" spans="1:12">
      <c r="A141" s="27">
        <v>45</v>
      </c>
      <c r="B141" s="37">
        <v>200944091</v>
      </c>
      <c r="C141" s="53" t="s">
        <v>161</v>
      </c>
      <c r="D141" s="24">
        <v>4.0599999999999996</v>
      </c>
      <c r="E141" s="24">
        <v>6.72</v>
      </c>
      <c r="F141" s="24">
        <v>2.85</v>
      </c>
      <c r="G141" s="24">
        <v>10.8</v>
      </c>
      <c r="H141" s="24">
        <v>5.76</v>
      </c>
      <c r="I141" s="24">
        <v>14.5</v>
      </c>
      <c r="J141" s="24">
        <f t="shared" si="9"/>
        <v>44.69</v>
      </c>
      <c r="K141" s="24">
        <v>17.600000000000001</v>
      </c>
      <c r="L141" s="25">
        <f t="shared" si="11"/>
        <v>62.29</v>
      </c>
    </row>
    <row r="142" spans="1:12">
      <c r="A142" s="27">
        <v>46</v>
      </c>
      <c r="B142" s="37">
        <v>200944093</v>
      </c>
      <c r="C142" s="53" t="s">
        <v>162</v>
      </c>
      <c r="D142" s="24">
        <v>4.76</v>
      </c>
      <c r="E142" s="24">
        <v>4.8</v>
      </c>
      <c r="F142" s="24">
        <v>4.5</v>
      </c>
      <c r="G142" s="24">
        <v>10.8</v>
      </c>
      <c r="H142" s="24">
        <v>8.16</v>
      </c>
      <c r="I142" s="24">
        <v>14.8</v>
      </c>
      <c r="J142" s="24">
        <f t="shared" si="9"/>
        <v>47.82</v>
      </c>
      <c r="K142" s="24">
        <v>16</v>
      </c>
      <c r="L142" s="25">
        <f t="shared" si="11"/>
        <v>63.82</v>
      </c>
    </row>
    <row r="143" spans="1:12">
      <c r="A143" s="27">
        <v>47</v>
      </c>
      <c r="B143" s="37">
        <v>200944809</v>
      </c>
      <c r="C143" s="51" t="s">
        <v>163</v>
      </c>
      <c r="D143" s="24">
        <v>5.29</v>
      </c>
      <c r="E143" s="24">
        <v>4.8</v>
      </c>
      <c r="F143" s="24">
        <v>3.9</v>
      </c>
      <c r="G143" s="24">
        <v>0</v>
      </c>
      <c r="H143" s="24">
        <v>0</v>
      </c>
      <c r="I143" s="24">
        <v>0</v>
      </c>
      <c r="J143" s="24">
        <f t="shared" si="9"/>
        <v>13.989999999999998</v>
      </c>
      <c r="K143" s="24" t="s">
        <v>475</v>
      </c>
      <c r="L143" s="25">
        <f>+J143</f>
        <v>13.989999999999998</v>
      </c>
    </row>
    <row r="144" spans="1:12">
      <c r="A144" s="27">
        <v>48</v>
      </c>
      <c r="B144" s="37">
        <v>200944811</v>
      </c>
      <c r="C144" s="53" t="s">
        <v>164</v>
      </c>
      <c r="D144" s="24">
        <v>4.2300000000000004</v>
      </c>
      <c r="E144" s="24">
        <v>3.84</v>
      </c>
      <c r="F144" s="24">
        <v>2.5499999999999998</v>
      </c>
      <c r="G144" s="24">
        <v>6.6</v>
      </c>
      <c r="H144" s="24">
        <v>6.24</v>
      </c>
      <c r="I144" s="24">
        <v>15</v>
      </c>
      <c r="J144" s="24">
        <f t="shared" si="9"/>
        <v>38.460000000000008</v>
      </c>
      <c r="K144" s="24" t="s">
        <v>475</v>
      </c>
      <c r="L144" s="25">
        <f>+J144</f>
        <v>38.460000000000008</v>
      </c>
    </row>
    <row r="145" spans="1:12">
      <c r="A145" s="27">
        <v>49</v>
      </c>
      <c r="B145" s="37">
        <v>200945123</v>
      </c>
      <c r="C145" s="53" t="s">
        <v>165</v>
      </c>
      <c r="D145" s="24">
        <v>5.18</v>
      </c>
      <c r="E145" s="24">
        <v>5.76</v>
      </c>
      <c r="F145" s="24">
        <v>2.7</v>
      </c>
      <c r="G145" s="24">
        <v>6.6</v>
      </c>
      <c r="H145" s="24">
        <v>6.72</v>
      </c>
      <c r="I145" s="24">
        <v>15.25</v>
      </c>
      <c r="J145" s="24">
        <f t="shared" si="9"/>
        <v>42.21</v>
      </c>
      <c r="K145" s="24">
        <v>12.8</v>
      </c>
      <c r="L145" s="25">
        <f t="shared" si="11"/>
        <v>55.010000000000005</v>
      </c>
    </row>
    <row r="146" spans="1:12">
      <c r="A146" s="27">
        <v>50</v>
      </c>
      <c r="B146" s="37">
        <v>200945126</v>
      </c>
      <c r="C146" s="53" t="s">
        <v>166</v>
      </c>
      <c r="D146" s="24">
        <v>4.59</v>
      </c>
      <c r="E146" s="24">
        <v>5.28</v>
      </c>
      <c r="F146" s="24">
        <v>1.5</v>
      </c>
      <c r="G146" s="24">
        <v>0</v>
      </c>
      <c r="H146" s="24">
        <v>0</v>
      </c>
      <c r="I146" s="24">
        <v>0</v>
      </c>
      <c r="J146" s="24">
        <f t="shared" si="9"/>
        <v>11.370000000000001</v>
      </c>
      <c r="K146" s="24" t="s">
        <v>475</v>
      </c>
      <c r="L146" s="25">
        <f>+J146</f>
        <v>11.370000000000001</v>
      </c>
    </row>
    <row r="147" spans="1:12">
      <c r="A147" s="27">
        <v>51</v>
      </c>
      <c r="B147" s="57">
        <v>200980007</v>
      </c>
      <c r="C147" s="58" t="s">
        <v>167</v>
      </c>
      <c r="D147" s="24">
        <v>6.52</v>
      </c>
      <c r="E147" s="24">
        <v>6.72</v>
      </c>
      <c r="F147" s="24">
        <v>6.75</v>
      </c>
      <c r="G147" s="24">
        <v>12</v>
      </c>
      <c r="H147" s="24">
        <v>10.08</v>
      </c>
      <c r="I147" s="24">
        <v>14.8</v>
      </c>
      <c r="J147" s="24">
        <f t="shared" si="9"/>
        <v>56.870000000000005</v>
      </c>
      <c r="K147" s="24">
        <v>15.2</v>
      </c>
      <c r="L147" s="25">
        <f t="shared" si="11"/>
        <v>72.070000000000007</v>
      </c>
    </row>
    <row r="148" spans="1:12">
      <c r="A148" s="29"/>
      <c r="B148" s="29"/>
      <c r="C148" s="30"/>
      <c r="D148" s="31"/>
      <c r="E148" s="31"/>
      <c r="F148" s="31"/>
      <c r="G148" s="31"/>
      <c r="H148" s="31"/>
      <c r="I148" s="31"/>
      <c r="J148" s="31"/>
      <c r="K148" s="31"/>
      <c r="L148" s="32"/>
    </row>
    <row r="149" spans="1:12">
      <c r="A149" s="29"/>
      <c r="B149" s="29"/>
      <c r="C149" s="30"/>
      <c r="D149" s="31"/>
      <c r="E149" s="31"/>
      <c r="F149" s="31"/>
      <c r="G149" s="31"/>
      <c r="H149" s="31"/>
      <c r="I149" s="31"/>
      <c r="J149" s="31"/>
      <c r="K149" s="31"/>
      <c r="L149" s="32"/>
    </row>
    <row r="150" spans="1:12" ht="17.25" thickBot="1">
      <c r="A150" s="33"/>
      <c r="B150" s="33"/>
      <c r="C150" s="34"/>
      <c r="D150" s="31"/>
      <c r="E150" s="31"/>
      <c r="F150" s="31"/>
      <c r="G150" s="31"/>
      <c r="H150" s="35"/>
      <c r="I150" s="35"/>
      <c r="J150" s="35"/>
      <c r="K150" s="9"/>
      <c r="L150" s="32"/>
    </row>
    <row r="151" spans="1:12">
      <c r="H151" s="100" t="s">
        <v>467</v>
      </c>
      <c r="I151" s="100"/>
      <c r="J151" s="100"/>
      <c r="L151" s="1"/>
    </row>
    <row r="152" spans="1:12">
      <c r="D152" s="36"/>
      <c r="H152" s="100" t="s">
        <v>430</v>
      </c>
      <c r="I152" s="100"/>
      <c r="J152" s="100"/>
      <c r="L152" s="1"/>
    </row>
    <row r="153" spans="1:12">
      <c r="D153" s="36"/>
      <c r="H153" s="100" t="s">
        <v>465</v>
      </c>
      <c r="I153" s="100"/>
      <c r="J153" s="100"/>
      <c r="L153" s="1"/>
    </row>
    <row r="169" spans="1:9" ht="17.25" thickBot="1">
      <c r="A169" s="1" t="s">
        <v>0</v>
      </c>
      <c r="I169" s="3"/>
    </row>
    <row r="170" spans="1:9">
      <c r="A170" s="1" t="s">
        <v>1</v>
      </c>
      <c r="F170" s="4"/>
      <c r="G170" s="5"/>
      <c r="H170" s="6"/>
      <c r="I170" s="7"/>
    </row>
    <row r="171" spans="1:9">
      <c r="A171" s="8" t="s">
        <v>2</v>
      </c>
      <c r="B171" s="9"/>
      <c r="E171" s="7"/>
      <c r="F171" s="10"/>
      <c r="G171" s="11"/>
      <c r="H171" s="12"/>
      <c r="I171" s="7"/>
    </row>
    <row r="172" spans="1:9" ht="17.25" thickBot="1">
      <c r="A172" s="13" t="s">
        <v>3</v>
      </c>
      <c r="B172" s="9"/>
      <c r="E172" s="7"/>
      <c r="F172" s="10"/>
      <c r="G172" s="11"/>
      <c r="H172" s="12"/>
      <c r="I172" s="7"/>
    </row>
    <row r="173" spans="1:9" ht="17.25" thickBot="1">
      <c r="A173" s="14" t="s">
        <v>22</v>
      </c>
      <c r="B173" s="15"/>
      <c r="C173" s="16"/>
      <c r="E173" s="7"/>
      <c r="F173" s="17"/>
      <c r="G173" s="18"/>
      <c r="H173" s="19"/>
      <c r="I173" s="7"/>
    </row>
    <row r="174" spans="1:9">
      <c r="A174" s="8"/>
      <c r="B174" s="9"/>
      <c r="E174" s="7"/>
      <c r="I174" s="3"/>
    </row>
    <row r="175" spans="1:9">
      <c r="A175" s="1" t="s">
        <v>91</v>
      </c>
      <c r="B175" s="9"/>
      <c r="C175" s="20" t="s">
        <v>168</v>
      </c>
      <c r="E175" s="7"/>
      <c r="I175" s="3"/>
    </row>
    <row r="176" spans="1:9">
      <c r="A176" s="1" t="s">
        <v>4</v>
      </c>
      <c r="C176" s="20" t="s">
        <v>462</v>
      </c>
      <c r="I176" s="3"/>
    </row>
    <row r="177" spans="1:12">
      <c r="A177" s="1" t="s">
        <v>5</v>
      </c>
      <c r="C177" s="20" t="s">
        <v>466</v>
      </c>
    </row>
    <row r="178" spans="1:12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pans="1:12">
      <c r="A179" s="1"/>
      <c r="C179" s="22" t="s">
        <v>6</v>
      </c>
      <c r="D179" s="22" t="s">
        <v>435</v>
      </c>
      <c r="E179" s="22" t="s">
        <v>435</v>
      </c>
      <c r="F179" s="22" t="s">
        <v>435</v>
      </c>
      <c r="G179" s="22" t="s">
        <v>435</v>
      </c>
      <c r="H179" s="22" t="s">
        <v>435</v>
      </c>
      <c r="I179" s="22" t="s">
        <v>7</v>
      </c>
      <c r="J179" s="22" t="s">
        <v>8</v>
      </c>
      <c r="K179" s="22" t="s">
        <v>7</v>
      </c>
      <c r="L179" s="22" t="s">
        <v>9</v>
      </c>
    </row>
    <row r="180" spans="1:12">
      <c r="A180" s="22" t="s">
        <v>10</v>
      </c>
      <c r="B180" s="22" t="s">
        <v>11</v>
      </c>
      <c r="C180" s="22" t="s">
        <v>12</v>
      </c>
      <c r="D180" s="22" t="s">
        <v>13</v>
      </c>
      <c r="E180" s="22" t="s">
        <v>14</v>
      </c>
      <c r="F180" s="22" t="s">
        <v>15</v>
      </c>
      <c r="G180" s="22" t="s">
        <v>16</v>
      </c>
      <c r="H180" s="22" t="s">
        <v>17</v>
      </c>
      <c r="I180" s="22" t="s">
        <v>95</v>
      </c>
      <c r="J180" s="22" t="s">
        <v>18</v>
      </c>
      <c r="K180" s="22" t="s">
        <v>19</v>
      </c>
      <c r="L180" s="22" t="s">
        <v>20</v>
      </c>
    </row>
    <row r="181" spans="1:12">
      <c r="A181" s="23">
        <v>1</v>
      </c>
      <c r="B181" s="57">
        <v>200840189</v>
      </c>
      <c r="C181" s="60" t="s">
        <v>173</v>
      </c>
      <c r="D181" s="24">
        <v>3.88</v>
      </c>
      <c r="E181" s="24">
        <v>2.88</v>
      </c>
      <c r="F181" s="24">
        <v>2.4</v>
      </c>
      <c r="G181" s="24">
        <v>7.8</v>
      </c>
      <c r="H181" s="24">
        <v>2.4</v>
      </c>
      <c r="I181" s="24">
        <v>14.5</v>
      </c>
      <c r="J181" s="24">
        <f>+I181+H181+G181+F181+E181+D181</f>
        <v>33.86</v>
      </c>
      <c r="K181" s="24" t="s">
        <v>475</v>
      </c>
      <c r="L181" s="25">
        <f>+J181</f>
        <v>33.86</v>
      </c>
    </row>
    <row r="182" spans="1:12">
      <c r="A182" s="26">
        <v>2</v>
      </c>
      <c r="B182" s="45">
        <v>200840192</v>
      </c>
      <c r="C182" s="56" t="s">
        <v>174</v>
      </c>
      <c r="D182" s="24">
        <v>6.53</v>
      </c>
      <c r="E182" s="24">
        <v>6.24</v>
      </c>
      <c r="F182" s="24">
        <v>7.95</v>
      </c>
      <c r="G182" s="24">
        <v>10.8</v>
      </c>
      <c r="H182" s="24">
        <v>10.08</v>
      </c>
      <c r="I182" s="24">
        <v>15</v>
      </c>
      <c r="J182" s="24">
        <f t="shared" ref="J182:J232" si="14">+I182+H182+G182+F182+E182+D182</f>
        <v>56.6</v>
      </c>
      <c r="K182" s="24">
        <v>16</v>
      </c>
      <c r="L182" s="25">
        <f t="shared" ref="L182:L232" si="15">+K182+J182</f>
        <v>72.599999999999994</v>
      </c>
    </row>
    <row r="183" spans="1:12">
      <c r="A183" s="27">
        <v>3</v>
      </c>
      <c r="B183" s="45">
        <v>200842064</v>
      </c>
      <c r="C183" s="56" t="s">
        <v>179</v>
      </c>
      <c r="D183" s="24">
        <v>4.59</v>
      </c>
      <c r="E183" s="24">
        <v>2.4</v>
      </c>
      <c r="F183" s="24">
        <v>2.7</v>
      </c>
      <c r="G183" s="24">
        <v>0</v>
      </c>
      <c r="H183" s="24">
        <v>0</v>
      </c>
      <c r="I183" s="24">
        <v>0</v>
      </c>
      <c r="J183" s="24">
        <f t="shared" si="14"/>
        <v>9.69</v>
      </c>
      <c r="K183" s="24" t="s">
        <v>475</v>
      </c>
      <c r="L183" s="25">
        <f>+J183</f>
        <v>9.69</v>
      </c>
    </row>
    <row r="184" spans="1:12">
      <c r="A184" s="26">
        <v>4</v>
      </c>
      <c r="B184" s="45">
        <v>200842096</v>
      </c>
      <c r="C184" s="56" t="s">
        <v>180</v>
      </c>
      <c r="D184" s="24">
        <v>3.7</v>
      </c>
      <c r="E184" s="24">
        <v>6.75</v>
      </c>
      <c r="F184" s="24">
        <v>6.45</v>
      </c>
      <c r="G184" s="24">
        <v>7.8</v>
      </c>
      <c r="H184" s="24">
        <v>4.32</v>
      </c>
      <c r="I184" s="24">
        <v>13.5</v>
      </c>
      <c r="J184" s="24">
        <f t="shared" si="14"/>
        <v>42.52</v>
      </c>
      <c r="K184" s="24">
        <v>11.2</v>
      </c>
      <c r="L184" s="25">
        <f t="shared" si="15"/>
        <v>53.72</v>
      </c>
    </row>
    <row r="185" spans="1:12">
      <c r="A185" s="26">
        <v>5</v>
      </c>
      <c r="B185" s="45">
        <v>200842099</v>
      </c>
      <c r="C185" s="56" t="s">
        <v>181</v>
      </c>
      <c r="D185" s="24">
        <v>9.8800000000000008</v>
      </c>
      <c r="E185" s="24">
        <v>6.75</v>
      </c>
      <c r="F185" s="24">
        <v>6</v>
      </c>
      <c r="G185" s="24">
        <v>9.6</v>
      </c>
      <c r="H185" s="24">
        <v>9.1199999999999992</v>
      </c>
      <c r="I185" s="24">
        <v>14.5</v>
      </c>
      <c r="J185" s="24">
        <f t="shared" si="14"/>
        <v>55.85</v>
      </c>
      <c r="K185" s="24">
        <v>14.4</v>
      </c>
      <c r="L185" s="25">
        <f t="shared" si="15"/>
        <v>70.25</v>
      </c>
    </row>
    <row r="186" spans="1:12">
      <c r="A186" s="26">
        <v>6</v>
      </c>
      <c r="B186" s="45">
        <v>200842121</v>
      </c>
      <c r="C186" s="59" t="s">
        <v>183</v>
      </c>
      <c r="D186" s="24">
        <v>7.76</v>
      </c>
      <c r="E186" s="24">
        <v>3.84</v>
      </c>
      <c r="F186" s="24">
        <v>0.6</v>
      </c>
      <c r="G186" s="24">
        <v>0</v>
      </c>
      <c r="H186" s="24">
        <v>0</v>
      </c>
      <c r="I186" s="24">
        <v>0</v>
      </c>
      <c r="J186" s="24">
        <f t="shared" si="14"/>
        <v>12.2</v>
      </c>
      <c r="K186" s="24" t="s">
        <v>475</v>
      </c>
      <c r="L186" s="25">
        <f>+J186</f>
        <v>12.2</v>
      </c>
    </row>
    <row r="187" spans="1:12">
      <c r="A187" s="26">
        <v>7</v>
      </c>
      <c r="B187" s="45">
        <v>200842378</v>
      </c>
      <c r="C187" s="56" t="s">
        <v>184</v>
      </c>
      <c r="D187" s="24">
        <v>5.12</v>
      </c>
      <c r="E187" s="24">
        <v>3.38</v>
      </c>
      <c r="F187" s="24">
        <v>2.4</v>
      </c>
      <c r="G187" s="24">
        <v>6.6</v>
      </c>
      <c r="H187" s="24">
        <v>10.08</v>
      </c>
      <c r="I187" s="24">
        <v>16.5</v>
      </c>
      <c r="J187" s="24">
        <f t="shared" si="14"/>
        <v>44.08</v>
      </c>
      <c r="K187" s="24">
        <v>6.4</v>
      </c>
      <c r="L187" s="25">
        <f t="shared" si="15"/>
        <v>50.48</v>
      </c>
    </row>
    <row r="188" spans="1:12">
      <c r="A188" s="26">
        <v>8</v>
      </c>
      <c r="B188" s="57">
        <v>200843337</v>
      </c>
      <c r="C188" s="56" t="s">
        <v>188</v>
      </c>
      <c r="D188" s="24">
        <v>2.82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f t="shared" si="14"/>
        <v>2.82</v>
      </c>
      <c r="K188" s="24" t="s">
        <v>475</v>
      </c>
      <c r="L188" s="25">
        <f>+J188</f>
        <v>2.82</v>
      </c>
    </row>
    <row r="189" spans="1:12">
      <c r="A189" s="26">
        <v>9</v>
      </c>
      <c r="B189" s="45">
        <v>200843789</v>
      </c>
      <c r="C189" s="56" t="s">
        <v>189</v>
      </c>
      <c r="D189" s="24">
        <v>7.41</v>
      </c>
      <c r="E189" s="24">
        <v>3.36</v>
      </c>
      <c r="F189" s="24">
        <v>5.55</v>
      </c>
      <c r="G189" s="24">
        <v>9</v>
      </c>
      <c r="H189" s="24">
        <v>4.32</v>
      </c>
      <c r="I189" s="24">
        <v>14.5</v>
      </c>
      <c r="J189" s="24">
        <f t="shared" si="14"/>
        <v>44.14</v>
      </c>
      <c r="K189" s="24">
        <v>9.6</v>
      </c>
      <c r="L189" s="25">
        <f t="shared" si="15"/>
        <v>53.74</v>
      </c>
    </row>
    <row r="190" spans="1:12">
      <c r="A190" s="26">
        <v>10</v>
      </c>
      <c r="B190" s="45">
        <v>200880002</v>
      </c>
      <c r="C190" s="56" t="s">
        <v>190</v>
      </c>
      <c r="D190" s="24">
        <v>3.88</v>
      </c>
      <c r="E190" s="24">
        <v>4.32</v>
      </c>
      <c r="F190" s="24">
        <v>6.9</v>
      </c>
      <c r="G190" s="24">
        <v>10.8</v>
      </c>
      <c r="H190" s="24">
        <v>5.76</v>
      </c>
      <c r="I190" s="24">
        <v>14</v>
      </c>
      <c r="J190" s="24">
        <f t="shared" si="14"/>
        <v>45.660000000000004</v>
      </c>
      <c r="K190" s="24">
        <v>12.8</v>
      </c>
      <c r="L190" s="25">
        <f t="shared" si="15"/>
        <v>58.460000000000008</v>
      </c>
    </row>
    <row r="191" spans="1:12">
      <c r="A191" s="26">
        <v>11</v>
      </c>
      <c r="B191" s="45">
        <v>200940337</v>
      </c>
      <c r="C191" s="56" t="s">
        <v>191</v>
      </c>
      <c r="D191" s="24">
        <v>7.06</v>
      </c>
      <c r="E191" s="24">
        <v>2.4</v>
      </c>
      <c r="F191" s="24">
        <v>3.3</v>
      </c>
      <c r="G191" s="24">
        <v>7.2</v>
      </c>
      <c r="H191" s="28">
        <v>7.2</v>
      </c>
      <c r="I191" s="28">
        <v>14.5</v>
      </c>
      <c r="J191" s="24">
        <f t="shared" si="14"/>
        <v>41.66</v>
      </c>
      <c r="K191" s="24">
        <v>6</v>
      </c>
      <c r="L191" s="25">
        <f>+K191+J191</f>
        <v>47.66</v>
      </c>
    </row>
    <row r="192" spans="1:12">
      <c r="A192" s="26">
        <v>12</v>
      </c>
      <c r="B192" s="57">
        <v>200940341</v>
      </c>
      <c r="C192" s="60" t="s">
        <v>192</v>
      </c>
      <c r="D192" s="24">
        <v>9.17</v>
      </c>
      <c r="E192" s="24">
        <v>6.72</v>
      </c>
      <c r="F192" s="24">
        <v>7.5</v>
      </c>
      <c r="G192" s="24">
        <v>10.199999999999999</v>
      </c>
      <c r="H192" s="28">
        <v>10.56</v>
      </c>
      <c r="I192" s="28">
        <v>14</v>
      </c>
      <c r="J192" s="24">
        <f t="shared" si="14"/>
        <v>58.150000000000006</v>
      </c>
      <c r="K192" s="24">
        <v>15.2</v>
      </c>
      <c r="L192" s="25">
        <f t="shared" si="15"/>
        <v>73.350000000000009</v>
      </c>
    </row>
    <row r="193" spans="1:12">
      <c r="A193" s="26">
        <v>13</v>
      </c>
      <c r="B193" s="45">
        <v>200940351</v>
      </c>
      <c r="C193" s="56" t="s">
        <v>193</v>
      </c>
      <c r="D193" s="24">
        <v>2.82</v>
      </c>
      <c r="E193" s="24">
        <v>1.92</v>
      </c>
      <c r="F193" s="24">
        <v>1.8</v>
      </c>
      <c r="G193" s="24">
        <v>3.6</v>
      </c>
      <c r="H193" s="28">
        <v>0</v>
      </c>
      <c r="I193" s="28">
        <v>0</v>
      </c>
      <c r="J193" s="24">
        <f t="shared" si="14"/>
        <v>10.14</v>
      </c>
      <c r="K193" s="24" t="s">
        <v>475</v>
      </c>
      <c r="L193" s="25">
        <f>+J193</f>
        <v>10.14</v>
      </c>
    </row>
    <row r="194" spans="1:12">
      <c r="A194" s="23">
        <v>14</v>
      </c>
      <c r="B194" s="45">
        <v>200940362</v>
      </c>
      <c r="C194" s="58" t="s">
        <v>194</v>
      </c>
      <c r="D194" s="24">
        <v>0</v>
      </c>
      <c r="E194" s="24">
        <v>1.92</v>
      </c>
      <c r="F194" s="24">
        <v>0.9</v>
      </c>
      <c r="G194" s="24">
        <v>3</v>
      </c>
      <c r="H194" s="28">
        <v>2.4</v>
      </c>
      <c r="I194" s="28">
        <v>14</v>
      </c>
      <c r="J194" s="24">
        <f t="shared" si="14"/>
        <v>22.22</v>
      </c>
      <c r="K194" s="24" t="s">
        <v>475</v>
      </c>
      <c r="L194" s="25">
        <f>+J194</f>
        <v>22.22</v>
      </c>
    </row>
    <row r="195" spans="1:12">
      <c r="A195" s="23">
        <v>15</v>
      </c>
      <c r="B195" s="45">
        <v>200940369</v>
      </c>
      <c r="C195" s="56" t="s">
        <v>195</v>
      </c>
      <c r="D195" s="24">
        <v>8.4700000000000006</v>
      </c>
      <c r="E195" s="24">
        <v>6.75</v>
      </c>
      <c r="F195" s="24">
        <v>0</v>
      </c>
      <c r="G195" s="24">
        <v>0</v>
      </c>
      <c r="H195" s="24">
        <v>0</v>
      </c>
      <c r="I195" s="24">
        <v>0</v>
      </c>
      <c r="J195" s="24">
        <f t="shared" si="14"/>
        <v>15.22</v>
      </c>
      <c r="K195" s="24" t="s">
        <v>475</v>
      </c>
      <c r="L195" s="25">
        <f>+J195</f>
        <v>15.22</v>
      </c>
    </row>
    <row r="196" spans="1:12">
      <c r="A196" s="23">
        <v>16</v>
      </c>
      <c r="B196" s="45">
        <v>200940429</v>
      </c>
      <c r="C196" s="56" t="s">
        <v>196</v>
      </c>
      <c r="D196" s="24">
        <v>4.59</v>
      </c>
      <c r="E196" s="24">
        <v>3.84</v>
      </c>
      <c r="F196" s="24">
        <v>2.7</v>
      </c>
      <c r="G196" s="24">
        <v>5.4</v>
      </c>
      <c r="H196" s="24">
        <v>0</v>
      </c>
      <c r="I196" s="24">
        <v>0</v>
      </c>
      <c r="J196" s="24">
        <f t="shared" si="14"/>
        <v>16.53</v>
      </c>
      <c r="K196" s="24" t="s">
        <v>475</v>
      </c>
      <c r="L196" s="25">
        <f>+J196</f>
        <v>16.53</v>
      </c>
    </row>
    <row r="197" spans="1:12">
      <c r="A197" s="23">
        <v>17</v>
      </c>
      <c r="B197" s="57">
        <v>200940430</v>
      </c>
      <c r="C197" s="60" t="s">
        <v>197</v>
      </c>
      <c r="D197" s="24">
        <v>5.82</v>
      </c>
      <c r="E197" s="24">
        <v>5.76</v>
      </c>
      <c r="F197" s="24">
        <v>5.55</v>
      </c>
      <c r="G197" s="24">
        <v>10.199999999999999</v>
      </c>
      <c r="H197" s="24">
        <v>5.76</v>
      </c>
      <c r="I197" s="24">
        <v>15</v>
      </c>
      <c r="J197" s="24">
        <f t="shared" si="14"/>
        <v>48.089999999999996</v>
      </c>
      <c r="K197" s="24">
        <v>13.6</v>
      </c>
      <c r="L197" s="25">
        <f t="shared" si="15"/>
        <v>61.69</v>
      </c>
    </row>
    <row r="198" spans="1:12">
      <c r="A198" s="27">
        <v>18</v>
      </c>
      <c r="B198" s="45">
        <v>200940506</v>
      </c>
      <c r="C198" s="56" t="s">
        <v>198</v>
      </c>
      <c r="D198" s="24">
        <v>6.88</v>
      </c>
      <c r="E198" s="24">
        <v>8.16</v>
      </c>
      <c r="F198" s="24">
        <v>7.2</v>
      </c>
      <c r="G198" s="24">
        <v>9.6</v>
      </c>
      <c r="H198" s="24">
        <v>7.68</v>
      </c>
      <c r="I198" s="24">
        <v>16.5</v>
      </c>
      <c r="J198" s="24">
        <f t="shared" si="14"/>
        <v>56.02</v>
      </c>
      <c r="K198" s="24">
        <v>12</v>
      </c>
      <c r="L198" s="25">
        <f t="shared" si="15"/>
        <v>68.02000000000001</v>
      </c>
    </row>
    <row r="199" spans="1:12">
      <c r="A199" s="27">
        <v>19</v>
      </c>
      <c r="B199" s="57">
        <v>200940516</v>
      </c>
      <c r="C199" s="58" t="s">
        <v>199</v>
      </c>
      <c r="D199" s="24">
        <v>4.41</v>
      </c>
      <c r="E199" s="24">
        <v>4.8</v>
      </c>
      <c r="F199" s="24">
        <v>7.2</v>
      </c>
      <c r="G199" s="24">
        <v>9.6</v>
      </c>
      <c r="H199" s="24">
        <v>7.2</v>
      </c>
      <c r="I199" s="24">
        <v>14.5</v>
      </c>
      <c r="J199" s="24">
        <f t="shared" si="14"/>
        <v>47.709999999999994</v>
      </c>
      <c r="K199" s="24">
        <v>16.8</v>
      </c>
      <c r="L199" s="25">
        <f t="shared" si="15"/>
        <v>64.509999999999991</v>
      </c>
    </row>
    <row r="200" spans="1:12">
      <c r="A200" s="27">
        <v>20</v>
      </c>
      <c r="B200" s="45">
        <v>200940519</v>
      </c>
      <c r="C200" s="56" t="s">
        <v>200</v>
      </c>
      <c r="D200" s="24">
        <v>0</v>
      </c>
      <c r="E200" s="24">
        <v>4.8</v>
      </c>
      <c r="F200" s="24">
        <v>6.9</v>
      </c>
      <c r="G200" s="24">
        <v>10.8</v>
      </c>
      <c r="H200" s="24">
        <v>5.76</v>
      </c>
      <c r="I200" s="24">
        <v>14</v>
      </c>
      <c r="J200" s="24">
        <f t="shared" si="14"/>
        <v>42.26</v>
      </c>
      <c r="K200" s="24">
        <v>11.6</v>
      </c>
      <c r="L200" s="25">
        <f t="shared" si="15"/>
        <v>53.86</v>
      </c>
    </row>
    <row r="201" spans="1:12">
      <c r="A201" s="27">
        <v>21</v>
      </c>
      <c r="B201" s="45">
        <v>200940521</v>
      </c>
      <c r="C201" s="56" t="s">
        <v>201</v>
      </c>
      <c r="D201" s="24">
        <v>7.06</v>
      </c>
      <c r="E201" s="24">
        <v>4.8</v>
      </c>
      <c r="F201" s="24">
        <v>6</v>
      </c>
      <c r="G201" s="24">
        <v>10.199999999999999</v>
      </c>
      <c r="H201" s="24">
        <v>7.68</v>
      </c>
      <c r="I201" s="24">
        <v>14.5</v>
      </c>
      <c r="J201" s="24">
        <f t="shared" si="14"/>
        <v>50.239999999999995</v>
      </c>
      <c r="K201" s="24">
        <v>17.600000000000001</v>
      </c>
      <c r="L201" s="25">
        <f t="shared" si="15"/>
        <v>67.84</v>
      </c>
    </row>
    <row r="202" spans="1:12">
      <c r="A202" s="27">
        <v>22</v>
      </c>
      <c r="B202" s="57">
        <v>200940523</v>
      </c>
      <c r="C202" s="60" t="s">
        <v>202</v>
      </c>
      <c r="D202" s="24">
        <v>1.94</v>
      </c>
      <c r="E202" s="24">
        <v>3.84</v>
      </c>
      <c r="F202" s="24">
        <v>3.3</v>
      </c>
      <c r="G202" s="24">
        <v>4.8</v>
      </c>
      <c r="H202" s="24">
        <v>2.88</v>
      </c>
      <c r="I202" s="24">
        <v>13.8</v>
      </c>
      <c r="J202" s="24">
        <f t="shared" si="14"/>
        <v>30.560000000000002</v>
      </c>
      <c r="K202" s="24" t="s">
        <v>475</v>
      </c>
      <c r="L202" s="25">
        <f>+J202</f>
        <v>30.560000000000002</v>
      </c>
    </row>
    <row r="203" spans="1:12">
      <c r="A203" s="27">
        <v>23</v>
      </c>
      <c r="B203" s="45">
        <v>200940739</v>
      </c>
      <c r="C203" s="56" t="s">
        <v>203</v>
      </c>
      <c r="D203" s="24">
        <v>2.82</v>
      </c>
      <c r="E203" s="24">
        <v>0.96</v>
      </c>
      <c r="F203" s="24">
        <v>5.55</v>
      </c>
      <c r="G203" s="24">
        <v>4.2</v>
      </c>
      <c r="H203" s="24">
        <v>5.28</v>
      </c>
      <c r="I203" s="24">
        <v>14</v>
      </c>
      <c r="J203" s="24">
        <f t="shared" si="14"/>
        <v>32.81</v>
      </c>
      <c r="K203" s="24" t="s">
        <v>475</v>
      </c>
      <c r="L203" s="25">
        <f>+J203</f>
        <v>32.81</v>
      </c>
    </row>
    <row r="204" spans="1:12">
      <c r="A204" s="27">
        <v>24</v>
      </c>
      <c r="B204" s="45">
        <v>200941008</v>
      </c>
      <c r="C204" s="59" t="s">
        <v>204</v>
      </c>
      <c r="D204" s="24">
        <v>5.82</v>
      </c>
      <c r="E204" s="24">
        <v>6.72</v>
      </c>
      <c r="F204" s="24">
        <v>4.5</v>
      </c>
      <c r="G204" s="24">
        <v>9</v>
      </c>
      <c r="H204" s="24">
        <v>3.36</v>
      </c>
      <c r="I204" s="24">
        <v>14.5</v>
      </c>
      <c r="J204" s="24">
        <f t="shared" si="14"/>
        <v>43.9</v>
      </c>
      <c r="K204" s="24">
        <v>10.8</v>
      </c>
      <c r="L204" s="25">
        <f t="shared" si="15"/>
        <v>54.7</v>
      </c>
    </row>
    <row r="205" spans="1:12">
      <c r="A205" s="27">
        <v>25</v>
      </c>
      <c r="B205" s="45">
        <v>200941435</v>
      </c>
      <c r="C205" s="59" t="s">
        <v>205</v>
      </c>
      <c r="D205" s="24">
        <v>4.59</v>
      </c>
      <c r="E205" s="24">
        <v>2.88</v>
      </c>
      <c r="F205" s="24">
        <v>0</v>
      </c>
      <c r="G205" s="24">
        <v>0</v>
      </c>
      <c r="H205" s="24">
        <v>0</v>
      </c>
      <c r="I205" s="24">
        <v>0</v>
      </c>
      <c r="J205" s="24">
        <f t="shared" si="14"/>
        <v>7.47</v>
      </c>
      <c r="K205" s="24" t="s">
        <v>475</v>
      </c>
      <c r="L205" s="25">
        <f>+J205</f>
        <v>7.47</v>
      </c>
    </row>
    <row r="206" spans="1:12">
      <c r="A206" s="27">
        <v>26</v>
      </c>
      <c r="B206" s="45">
        <v>200941436</v>
      </c>
      <c r="C206" s="56" t="s">
        <v>206</v>
      </c>
      <c r="D206" s="24">
        <v>5.29</v>
      </c>
      <c r="E206" s="24">
        <v>2.4</v>
      </c>
      <c r="F206" s="24">
        <v>3.9</v>
      </c>
      <c r="G206" s="24">
        <v>9</v>
      </c>
      <c r="H206" s="24">
        <v>2.4</v>
      </c>
      <c r="I206" s="24">
        <v>14.5</v>
      </c>
      <c r="J206" s="24">
        <f t="shared" si="14"/>
        <v>37.489999999999995</v>
      </c>
      <c r="K206" s="24" t="s">
        <v>475</v>
      </c>
      <c r="L206" s="25">
        <f>+J206</f>
        <v>37.489999999999995</v>
      </c>
    </row>
    <row r="207" spans="1:12">
      <c r="A207" s="27">
        <v>27</v>
      </c>
      <c r="B207" s="57">
        <v>200941438</v>
      </c>
      <c r="C207" s="60" t="s">
        <v>207</v>
      </c>
      <c r="D207" s="24">
        <v>8.1199999999999992</v>
      </c>
      <c r="E207" s="24">
        <v>10.56</v>
      </c>
      <c r="F207" s="24">
        <v>6.6</v>
      </c>
      <c r="G207" s="24">
        <v>10.8</v>
      </c>
      <c r="H207" s="24">
        <v>9.6</v>
      </c>
      <c r="I207" s="24">
        <v>14</v>
      </c>
      <c r="J207" s="24">
        <f t="shared" si="14"/>
        <v>59.680000000000007</v>
      </c>
      <c r="K207" s="24">
        <v>16.8</v>
      </c>
      <c r="L207" s="25">
        <f t="shared" si="15"/>
        <v>76.48</v>
      </c>
    </row>
    <row r="208" spans="1:12">
      <c r="A208" s="27">
        <v>28</v>
      </c>
      <c r="B208" s="45">
        <v>200941680</v>
      </c>
      <c r="C208" s="60" t="s">
        <v>208</v>
      </c>
      <c r="D208" s="24">
        <v>7.59</v>
      </c>
      <c r="E208" s="24">
        <v>6.24</v>
      </c>
      <c r="F208" s="24">
        <v>4.5</v>
      </c>
      <c r="G208" s="24">
        <v>10.8</v>
      </c>
      <c r="H208" s="24">
        <v>8.4</v>
      </c>
      <c r="I208" s="24">
        <v>14.5</v>
      </c>
      <c r="J208" s="24">
        <f t="shared" si="14"/>
        <v>52.03</v>
      </c>
      <c r="K208" s="24">
        <v>14.4</v>
      </c>
      <c r="L208" s="25">
        <f t="shared" si="15"/>
        <v>66.430000000000007</v>
      </c>
    </row>
    <row r="209" spans="1:12">
      <c r="A209" s="27">
        <v>29</v>
      </c>
      <c r="B209" s="45">
        <v>200941794</v>
      </c>
      <c r="C209" s="56" t="s">
        <v>209</v>
      </c>
      <c r="D209" s="24">
        <v>5.12</v>
      </c>
      <c r="E209" s="24">
        <v>4.32</v>
      </c>
      <c r="F209" s="24">
        <v>4.8</v>
      </c>
      <c r="G209" s="24">
        <v>9</v>
      </c>
      <c r="H209" s="24">
        <v>5.76</v>
      </c>
      <c r="I209" s="24">
        <v>14</v>
      </c>
      <c r="J209" s="24">
        <f t="shared" si="14"/>
        <v>42.999999999999993</v>
      </c>
      <c r="K209" s="24">
        <v>10.8</v>
      </c>
      <c r="L209" s="25">
        <f t="shared" si="15"/>
        <v>53.8</v>
      </c>
    </row>
    <row r="210" spans="1:12">
      <c r="A210" s="27">
        <v>30</v>
      </c>
      <c r="B210" s="45">
        <v>200941891</v>
      </c>
      <c r="C210" s="60" t="s">
        <v>210</v>
      </c>
      <c r="D210" s="24">
        <v>3.88</v>
      </c>
      <c r="E210" s="24">
        <v>5.76</v>
      </c>
      <c r="F210" s="24">
        <v>6.45</v>
      </c>
      <c r="G210" s="24">
        <v>9.6</v>
      </c>
      <c r="H210" s="24">
        <v>10.08</v>
      </c>
      <c r="I210" s="24">
        <v>14.5</v>
      </c>
      <c r="J210" s="24">
        <f t="shared" si="14"/>
        <v>50.27</v>
      </c>
      <c r="K210" s="24">
        <v>13.6</v>
      </c>
      <c r="L210" s="25">
        <f t="shared" si="15"/>
        <v>63.870000000000005</v>
      </c>
    </row>
    <row r="211" spans="1:12">
      <c r="A211" s="27">
        <v>31</v>
      </c>
      <c r="B211" s="45">
        <v>200941910</v>
      </c>
      <c r="C211" s="56" t="s">
        <v>211</v>
      </c>
      <c r="D211" s="24">
        <v>4.2300000000000004</v>
      </c>
      <c r="E211" s="24">
        <v>3.36</v>
      </c>
      <c r="F211" s="24">
        <v>2.4</v>
      </c>
      <c r="G211" s="24">
        <v>9</v>
      </c>
      <c r="H211" s="24">
        <v>5.04</v>
      </c>
      <c r="I211" s="24">
        <v>14.5</v>
      </c>
      <c r="J211" s="24">
        <f t="shared" si="14"/>
        <v>38.53</v>
      </c>
      <c r="K211" s="24" t="s">
        <v>475</v>
      </c>
      <c r="L211" s="25">
        <f>+J211</f>
        <v>38.53</v>
      </c>
    </row>
    <row r="212" spans="1:12">
      <c r="A212" s="27">
        <v>32</v>
      </c>
      <c r="B212" s="45">
        <v>200942019</v>
      </c>
      <c r="C212" s="56" t="s">
        <v>212</v>
      </c>
      <c r="D212" s="24">
        <v>5.65</v>
      </c>
      <c r="E212" s="24">
        <v>4.8</v>
      </c>
      <c r="F212" s="24">
        <v>4.95</v>
      </c>
      <c r="G212" s="24">
        <v>4.8</v>
      </c>
      <c r="H212" s="24">
        <v>0</v>
      </c>
      <c r="I212" s="24">
        <v>0</v>
      </c>
      <c r="J212" s="24">
        <f t="shared" si="14"/>
        <v>20.200000000000003</v>
      </c>
      <c r="K212" s="24" t="s">
        <v>475</v>
      </c>
      <c r="L212" s="25">
        <f>+J212</f>
        <v>20.200000000000003</v>
      </c>
    </row>
    <row r="213" spans="1:12">
      <c r="A213" s="27">
        <v>33</v>
      </c>
      <c r="B213" s="45">
        <v>200942151</v>
      </c>
      <c r="C213" s="56" t="s">
        <v>213</v>
      </c>
      <c r="D213" s="24">
        <v>1.94</v>
      </c>
      <c r="E213" s="24">
        <v>4.8</v>
      </c>
      <c r="F213" s="24">
        <v>4.8</v>
      </c>
      <c r="G213" s="24">
        <v>10.199999999999999</v>
      </c>
      <c r="H213" s="24">
        <v>4.5599999999999996</v>
      </c>
      <c r="I213" s="24">
        <v>16.5</v>
      </c>
      <c r="J213" s="24">
        <f t="shared" si="14"/>
        <v>42.79999999999999</v>
      </c>
      <c r="K213" s="24">
        <v>10</v>
      </c>
      <c r="L213" s="25">
        <f t="shared" si="15"/>
        <v>52.79999999999999</v>
      </c>
    </row>
    <row r="214" spans="1:12">
      <c r="A214" s="27">
        <v>34</v>
      </c>
      <c r="B214" s="45">
        <v>200942666</v>
      </c>
      <c r="C214" s="56" t="s">
        <v>214</v>
      </c>
      <c r="D214" s="24">
        <v>5.12</v>
      </c>
      <c r="E214" s="24">
        <v>5.76</v>
      </c>
      <c r="F214" s="24">
        <v>1.8</v>
      </c>
      <c r="G214" s="24">
        <v>10.199999999999999</v>
      </c>
      <c r="H214" s="24">
        <v>5.28</v>
      </c>
      <c r="I214" s="24">
        <v>15</v>
      </c>
      <c r="J214" s="24">
        <f t="shared" si="14"/>
        <v>43.16</v>
      </c>
      <c r="K214" s="24" t="s">
        <v>476</v>
      </c>
      <c r="L214" s="25">
        <v>43.16</v>
      </c>
    </row>
    <row r="215" spans="1:12">
      <c r="A215" s="27">
        <v>35</v>
      </c>
      <c r="B215" s="45">
        <v>200942804</v>
      </c>
      <c r="C215" s="59" t="s">
        <v>215</v>
      </c>
      <c r="D215" s="24">
        <v>3.18</v>
      </c>
      <c r="E215" s="24">
        <v>8.16</v>
      </c>
      <c r="F215" s="24">
        <v>4.5</v>
      </c>
      <c r="G215" s="24">
        <v>7.2</v>
      </c>
      <c r="H215" s="24">
        <v>3.12</v>
      </c>
      <c r="I215" s="24">
        <v>15</v>
      </c>
      <c r="J215" s="24">
        <f t="shared" si="14"/>
        <v>41.160000000000004</v>
      </c>
      <c r="K215" s="24">
        <v>8</v>
      </c>
      <c r="L215" s="25">
        <f t="shared" si="15"/>
        <v>49.160000000000004</v>
      </c>
    </row>
    <row r="216" spans="1:12">
      <c r="A216" s="27">
        <v>36</v>
      </c>
      <c r="B216" s="45">
        <v>200942806</v>
      </c>
      <c r="C216" s="59" t="s">
        <v>216</v>
      </c>
      <c r="D216" s="24">
        <v>3.88</v>
      </c>
      <c r="E216" s="24">
        <v>0</v>
      </c>
      <c r="F216" s="24">
        <v>0.9</v>
      </c>
      <c r="G216" s="24">
        <v>6</v>
      </c>
      <c r="H216" s="24">
        <v>0</v>
      </c>
      <c r="I216" s="24">
        <v>0</v>
      </c>
      <c r="J216" s="24">
        <f t="shared" si="14"/>
        <v>10.780000000000001</v>
      </c>
      <c r="K216" s="24" t="s">
        <v>475</v>
      </c>
      <c r="L216" s="25">
        <f>+J216</f>
        <v>10.780000000000001</v>
      </c>
    </row>
    <row r="217" spans="1:12">
      <c r="A217" s="27">
        <v>37</v>
      </c>
      <c r="B217" s="45">
        <v>200942915</v>
      </c>
      <c r="C217" s="59" t="s">
        <v>217</v>
      </c>
      <c r="D217" s="24">
        <v>5.47</v>
      </c>
      <c r="E217" s="24">
        <v>5.76</v>
      </c>
      <c r="F217" s="24">
        <v>5.25</v>
      </c>
      <c r="G217" s="24">
        <v>9</v>
      </c>
      <c r="H217" s="24">
        <v>0</v>
      </c>
      <c r="I217" s="24">
        <v>0</v>
      </c>
      <c r="J217" s="24">
        <f t="shared" si="14"/>
        <v>25.479999999999997</v>
      </c>
      <c r="K217" s="24" t="s">
        <v>475</v>
      </c>
      <c r="L217" s="25">
        <f>+J217</f>
        <v>25.479999999999997</v>
      </c>
    </row>
    <row r="218" spans="1:12">
      <c r="A218" s="27">
        <v>38</v>
      </c>
      <c r="B218" s="57">
        <v>200942930</v>
      </c>
      <c r="C218" s="60" t="s">
        <v>218</v>
      </c>
      <c r="D218" s="24">
        <v>4.59</v>
      </c>
      <c r="E218" s="24">
        <v>5.76</v>
      </c>
      <c r="F218" s="24">
        <v>4.5</v>
      </c>
      <c r="G218" s="24">
        <v>11.4</v>
      </c>
      <c r="H218" s="24">
        <v>5.76</v>
      </c>
      <c r="I218" s="24">
        <v>15</v>
      </c>
      <c r="J218" s="24">
        <f t="shared" si="14"/>
        <v>47.009999999999991</v>
      </c>
      <c r="K218" s="24">
        <v>11.6</v>
      </c>
      <c r="L218" s="25">
        <f t="shared" si="15"/>
        <v>58.609999999999992</v>
      </c>
    </row>
    <row r="219" spans="1:12">
      <c r="A219" s="27">
        <v>39</v>
      </c>
      <c r="B219" s="45">
        <v>200942987</v>
      </c>
      <c r="C219" s="56" t="s">
        <v>219</v>
      </c>
      <c r="D219" s="24">
        <v>2.4700000000000002</v>
      </c>
      <c r="E219" s="24">
        <v>2.88</v>
      </c>
      <c r="F219" s="24">
        <v>2.4</v>
      </c>
      <c r="G219" s="24">
        <v>6</v>
      </c>
      <c r="H219" s="24">
        <v>4.8</v>
      </c>
      <c r="I219" s="24">
        <v>14.5</v>
      </c>
      <c r="J219" s="24">
        <f t="shared" si="14"/>
        <v>33.049999999999997</v>
      </c>
      <c r="K219" s="24" t="s">
        <v>475</v>
      </c>
      <c r="L219" s="25">
        <f>+J219</f>
        <v>33.049999999999997</v>
      </c>
    </row>
    <row r="220" spans="1:12">
      <c r="A220" s="27">
        <v>40</v>
      </c>
      <c r="B220" s="45">
        <v>200943116</v>
      </c>
      <c r="C220" s="56" t="s">
        <v>220</v>
      </c>
      <c r="D220" s="24">
        <v>5.12</v>
      </c>
      <c r="E220" s="24">
        <v>4.8</v>
      </c>
      <c r="F220" s="24">
        <v>4.2</v>
      </c>
      <c r="G220" s="24">
        <v>6.6</v>
      </c>
      <c r="H220" s="24">
        <v>5.28</v>
      </c>
      <c r="I220" s="24">
        <v>15.5</v>
      </c>
      <c r="J220" s="24">
        <f t="shared" si="14"/>
        <v>41.5</v>
      </c>
      <c r="K220" s="24">
        <v>10.8</v>
      </c>
      <c r="L220" s="25">
        <f t="shared" si="15"/>
        <v>52.3</v>
      </c>
    </row>
    <row r="221" spans="1:12">
      <c r="A221" s="27">
        <v>41</v>
      </c>
      <c r="B221" s="45">
        <v>200943121</v>
      </c>
      <c r="C221" s="56" t="s">
        <v>221</v>
      </c>
      <c r="D221" s="24">
        <v>6.35</v>
      </c>
      <c r="E221" s="24">
        <v>8.16</v>
      </c>
      <c r="F221" s="24">
        <v>6.45</v>
      </c>
      <c r="G221" s="24">
        <v>8.4</v>
      </c>
      <c r="H221" s="24">
        <v>8.64</v>
      </c>
      <c r="I221" s="24">
        <v>14.5</v>
      </c>
      <c r="J221" s="24">
        <f t="shared" si="14"/>
        <v>52.500000000000007</v>
      </c>
      <c r="K221" s="24">
        <v>12</v>
      </c>
      <c r="L221" s="25">
        <f t="shared" si="15"/>
        <v>64.5</v>
      </c>
    </row>
    <row r="222" spans="1:12">
      <c r="A222" s="27">
        <v>42</v>
      </c>
      <c r="B222" s="45">
        <v>200943122</v>
      </c>
      <c r="C222" s="56" t="s">
        <v>222</v>
      </c>
      <c r="D222" s="24">
        <v>6</v>
      </c>
      <c r="E222" s="24">
        <v>10.56</v>
      </c>
      <c r="F222" s="24">
        <v>4.05</v>
      </c>
      <c r="G222" s="24">
        <v>9</v>
      </c>
      <c r="H222" s="24">
        <v>7.68</v>
      </c>
      <c r="I222" s="24">
        <v>15</v>
      </c>
      <c r="J222" s="24">
        <f t="shared" si="14"/>
        <v>52.29</v>
      </c>
      <c r="K222" s="24">
        <v>10.4</v>
      </c>
      <c r="L222" s="25">
        <f t="shared" si="15"/>
        <v>62.69</v>
      </c>
    </row>
    <row r="223" spans="1:12">
      <c r="A223" s="27">
        <v>43</v>
      </c>
      <c r="B223" s="45">
        <v>200943128</v>
      </c>
      <c r="C223" s="56" t="s">
        <v>223</v>
      </c>
      <c r="D223" s="24">
        <v>1.41</v>
      </c>
      <c r="E223" s="24">
        <v>1.92</v>
      </c>
      <c r="F223" s="24">
        <v>0.9</v>
      </c>
      <c r="G223" s="24">
        <v>7.2</v>
      </c>
      <c r="H223" s="24">
        <v>5.76</v>
      </c>
      <c r="I223" s="24">
        <v>14.5</v>
      </c>
      <c r="J223" s="24">
        <f t="shared" si="14"/>
        <v>31.689999999999994</v>
      </c>
      <c r="K223" s="24" t="s">
        <v>475</v>
      </c>
      <c r="L223" s="25">
        <f>+J223</f>
        <v>31.689999999999994</v>
      </c>
    </row>
    <row r="224" spans="1:12">
      <c r="A224" s="27">
        <v>44</v>
      </c>
      <c r="B224" s="45">
        <v>200943314</v>
      </c>
      <c r="C224" s="56" t="s">
        <v>224</v>
      </c>
      <c r="D224" s="24">
        <v>4.41</v>
      </c>
      <c r="E224" s="24">
        <v>4.32</v>
      </c>
      <c r="F224" s="24">
        <v>3.9</v>
      </c>
      <c r="G224" s="24">
        <v>7.2</v>
      </c>
      <c r="H224" s="24">
        <v>6.24</v>
      </c>
      <c r="I224" s="24">
        <v>16</v>
      </c>
      <c r="J224" s="24">
        <f t="shared" si="14"/>
        <v>42.070000000000007</v>
      </c>
      <c r="K224" s="24">
        <v>8.8000000000000007</v>
      </c>
      <c r="L224" s="25">
        <f t="shared" si="15"/>
        <v>50.870000000000005</v>
      </c>
    </row>
    <row r="225" spans="1:12">
      <c r="A225" s="27">
        <v>45</v>
      </c>
      <c r="B225" s="45">
        <v>200943330</v>
      </c>
      <c r="C225" s="56" t="s">
        <v>225</v>
      </c>
      <c r="D225" s="24">
        <v>5.29</v>
      </c>
      <c r="E225" s="24">
        <v>4.2</v>
      </c>
      <c r="F225" s="24">
        <v>5.7</v>
      </c>
      <c r="G225" s="24">
        <v>7.8</v>
      </c>
      <c r="H225" s="24">
        <v>0</v>
      </c>
      <c r="I225" s="24">
        <v>0</v>
      </c>
      <c r="J225" s="24">
        <f t="shared" si="14"/>
        <v>22.99</v>
      </c>
      <c r="K225" s="24" t="s">
        <v>475</v>
      </c>
      <c r="L225" s="25">
        <f>+J225</f>
        <v>22.99</v>
      </c>
    </row>
    <row r="226" spans="1:12">
      <c r="A226" s="27">
        <v>46</v>
      </c>
      <c r="B226" s="57">
        <v>200943368</v>
      </c>
      <c r="C226" s="60" t="s">
        <v>226</v>
      </c>
      <c r="D226" s="24">
        <v>4.59</v>
      </c>
      <c r="E226" s="24">
        <v>3.84</v>
      </c>
      <c r="F226" s="24">
        <v>5.4</v>
      </c>
      <c r="G226" s="24">
        <v>10.199999999999999</v>
      </c>
      <c r="H226" s="24">
        <v>7.2</v>
      </c>
      <c r="I226" s="24">
        <v>14.5</v>
      </c>
      <c r="J226" s="24">
        <f t="shared" si="14"/>
        <v>45.730000000000004</v>
      </c>
      <c r="K226" s="24">
        <v>11.6</v>
      </c>
      <c r="L226" s="25">
        <f t="shared" si="15"/>
        <v>57.330000000000005</v>
      </c>
    </row>
    <row r="227" spans="1:12">
      <c r="A227" s="27">
        <v>47</v>
      </c>
      <c r="B227" s="45">
        <v>200943645</v>
      </c>
      <c r="C227" s="60" t="s">
        <v>227</v>
      </c>
      <c r="D227" s="24">
        <v>7.76</v>
      </c>
      <c r="E227" s="24">
        <v>2.88</v>
      </c>
      <c r="F227" s="24">
        <v>4.8</v>
      </c>
      <c r="G227" s="24">
        <v>10.199999999999999</v>
      </c>
      <c r="H227" s="24">
        <v>4.8</v>
      </c>
      <c r="I227" s="24">
        <v>14.8</v>
      </c>
      <c r="J227" s="24">
        <f t="shared" si="14"/>
        <v>45.24</v>
      </c>
      <c r="K227" s="24" t="s">
        <v>476</v>
      </c>
      <c r="L227" s="25">
        <v>45.24</v>
      </c>
    </row>
    <row r="228" spans="1:12">
      <c r="A228" s="27">
        <v>48</v>
      </c>
      <c r="B228" s="45">
        <v>200943703</v>
      </c>
      <c r="C228" s="60" t="s">
        <v>228</v>
      </c>
      <c r="D228" s="24">
        <v>6.53</v>
      </c>
      <c r="E228" s="24">
        <v>6.24</v>
      </c>
      <c r="F228" s="24">
        <v>7.2</v>
      </c>
      <c r="G228" s="24">
        <v>10.8</v>
      </c>
      <c r="H228" s="24">
        <v>9.6</v>
      </c>
      <c r="I228" s="24">
        <v>15</v>
      </c>
      <c r="J228" s="24">
        <f t="shared" si="14"/>
        <v>55.370000000000012</v>
      </c>
      <c r="K228" s="24">
        <v>12.8</v>
      </c>
      <c r="L228" s="25">
        <f t="shared" si="15"/>
        <v>68.170000000000016</v>
      </c>
    </row>
    <row r="229" spans="1:12">
      <c r="A229" s="27">
        <v>49</v>
      </c>
      <c r="B229" s="45">
        <v>200944051</v>
      </c>
      <c r="C229" s="60" t="s">
        <v>229</v>
      </c>
      <c r="D229" s="24">
        <v>2.4700000000000002</v>
      </c>
      <c r="E229" s="24">
        <v>3.36</v>
      </c>
      <c r="F229" s="24">
        <v>3</v>
      </c>
      <c r="G229" s="24">
        <v>0</v>
      </c>
      <c r="H229" s="24">
        <v>0</v>
      </c>
      <c r="I229" s="24">
        <v>0</v>
      </c>
      <c r="J229" s="24">
        <f t="shared" si="14"/>
        <v>8.83</v>
      </c>
      <c r="K229" s="24" t="s">
        <v>475</v>
      </c>
      <c r="L229" s="25">
        <f>+J229</f>
        <v>8.83</v>
      </c>
    </row>
    <row r="230" spans="1:12">
      <c r="A230" s="27">
        <v>50</v>
      </c>
      <c r="B230" s="45">
        <v>200944223</v>
      </c>
      <c r="C230" s="60" t="s">
        <v>230</v>
      </c>
      <c r="D230" s="24">
        <v>0</v>
      </c>
      <c r="E230" s="24">
        <v>3.84</v>
      </c>
      <c r="F230" s="24">
        <v>0</v>
      </c>
      <c r="G230" s="24">
        <v>0</v>
      </c>
      <c r="H230" s="24">
        <v>0</v>
      </c>
      <c r="I230" s="24">
        <v>0</v>
      </c>
      <c r="J230" s="24">
        <f t="shared" si="14"/>
        <v>3.84</v>
      </c>
      <c r="K230" s="24" t="s">
        <v>475</v>
      </c>
      <c r="L230" s="25">
        <f>+J230</f>
        <v>3.84</v>
      </c>
    </row>
    <row r="231" spans="1:12">
      <c r="A231" s="27">
        <v>51</v>
      </c>
      <c r="B231" s="45">
        <v>200944768</v>
      </c>
      <c r="C231" s="60" t="s">
        <v>231</v>
      </c>
      <c r="D231" s="24">
        <v>4.59</v>
      </c>
      <c r="E231" s="24">
        <v>5.28</v>
      </c>
      <c r="F231" s="24">
        <v>5.7</v>
      </c>
      <c r="G231" s="24">
        <v>10.8</v>
      </c>
      <c r="H231" s="24">
        <v>7.68</v>
      </c>
      <c r="I231" s="24">
        <v>15</v>
      </c>
      <c r="J231" s="24">
        <f t="shared" si="14"/>
        <v>49.050000000000011</v>
      </c>
      <c r="K231" s="24">
        <v>8.8000000000000007</v>
      </c>
      <c r="L231" s="25">
        <f t="shared" si="15"/>
        <v>57.850000000000009</v>
      </c>
    </row>
    <row r="232" spans="1:12">
      <c r="A232" s="27">
        <v>52</v>
      </c>
      <c r="B232" s="45">
        <v>200944831</v>
      </c>
      <c r="C232" s="56" t="s">
        <v>232</v>
      </c>
      <c r="D232" s="24">
        <v>5.29</v>
      </c>
      <c r="E232" s="24">
        <v>5.28</v>
      </c>
      <c r="F232" s="24">
        <v>6.3</v>
      </c>
      <c r="G232" s="24">
        <v>10.199999999999999</v>
      </c>
      <c r="H232" s="24">
        <v>9.1199999999999992</v>
      </c>
      <c r="I232" s="24">
        <v>15.5</v>
      </c>
      <c r="J232" s="24">
        <f t="shared" si="14"/>
        <v>51.689999999999991</v>
      </c>
      <c r="K232" s="24">
        <v>12.8</v>
      </c>
      <c r="L232" s="25">
        <f t="shared" si="15"/>
        <v>64.489999999999995</v>
      </c>
    </row>
    <row r="233" spans="1:12">
      <c r="A233" s="29"/>
      <c r="B233" s="29"/>
      <c r="C233" s="30"/>
      <c r="D233" s="31"/>
      <c r="E233" s="31"/>
      <c r="F233" s="31"/>
      <c r="G233" s="31"/>
      <c r="H233" s="31"/>
      <c r="I233" s="31"/>
      <c r="J233" s="31"/>
      <c r="K233" s="31"/>
      <c r="L233" s="32"/>
    </row>
    <row r="234" spans="1:12">
      <c r="A234" s="29"/>
      <c r="B234" s="29"/>
      <c r="C234" s="30"/>
      <c r="D234" s="31"/>
      <c r="E234" s="31"/>
      <c r="F234" s="31"/>
      <c r="G234" s="31"/>
      <c r="H234" s="31"/>
      <c r="I234" s="31"/>
      <c r="J234" s="31"/>
      <c r="K234" s="31"/>
      <c r="L234" s="32"/>
    </row>
    <row r="235" spans="1:12" ht="17.25" thickBot="1">
      <c r="A235" s="33"/>
      <c r="B235" s="33"/>
      <c r="C235" s="34"/>
      <c r="D235" s="31"/>
      <c r="E235" s="31"/>
      <c r="F235" s="31"/>
      <c r="G235" s="31"/>
      <c r="H235" s="35"/>
      <c r="I235" s="35"/>
      <c r="J235" s="35"/>
      <c r="K235" s="9"/>
      <c r="L235" s="32"/>
    </row>
    <row r="236" spans="1:12">
      <c r="H236" s="100" t="s">
        <v>467</v>
      </c>
      <c r="I236" s="100"/>
      <c r="J236" s="100"/>
      <c r="L236" s="1"/>
    </row>
    <row r="237" spans="1:12">
      <c r="D237" s="36"/>
      <c r="H237" s="100" t="s">
        <v>430</v>
      </c>
      <c r="I237" s="100"/>
      <c r="J237" s="100"/>
      <c r="L237" s="1"/>
    </row>
    <row r="238" spans="1:12">
      <c r="D238" s="36"/>
      <c r="H238" s="100" t="s">
        <v>465</v>
      </c>
      <c r="I238" s="100"/>
      <c r="J238" s="100"/>
      <c r="L238" s="1"/>
    </row>
    <row r="253" spans="1:9" ht="17.25" thickBot="1">
      <c r="A253" s="1" t="s">
        <v>0</v>
      </c>
      <c r="I253" s="3"/>
    </row>
    <row r="254" spans="1:9">
      <c r="A254" s="1" t="s">
        <v>1</v>
      </c>
      <c r="F254" s="4"/>
      <c r="G254" s="5"/>
      <c r="H254" s="6"/>
      <c r="I254" s="7"/>
    </row>
    <row r="255" spans="1:9">
      <c r="A255" s="8" t="s">
        <v>2</v>
      </c>
      <c r="B255" s="9"/>
      <c r="E255" s="7"/>
      <c r="F255" s="10"/>
      <c r="G255" s="11"/>
      <c r="H255" s="12"/>
      <c r="I255" s="7"/>
    </row>
    <row r="256" spans="1:9" ht="17.25" thickBot="1">
      <c r="A256" s="13" t="s">
        <v>3</v>
      </c>
      <c r="B256" s="9"/>
      <c r="E256" s="7"/>
      <c r="F256" s="10"/>
      <c r="G256" s="11"/>
      <c r="H256" s="12"/>
      <c r="I256" s="7"/>
    </row>
    <row r="257" spans="1:12" ht="17.25" thickBot="1">
      <c r="A257" s="14" t="s">
        <v>22</v>
      </c>
      <c r="B257" s="15"/>
      <c r="C257" s="16"/>
      <c r="E257" s="7"/>
      <c r="F257" s="17"/>
      <c r="G257" s="18"/>
      <c r="H257" s="19"/>
      <c r="I257" s="7"/>
    </row>
    <row r="258" spans="1:12">
      <c r="A258" s="8"/>
      <c r="B258" s="9"/>
      <c r="E258" s="7"/>
      <c r="I258" s="3"/>
    </row>
    <row r="259" spans="1:12">
      <c r="A259" s="1" t="s">
        <v>91</v>
      </c>
      <c r="B259" s="9"/>
      <c r="C259" s="20" t="s">
        <v>233</v>
      </c>
      <c r="E259" s="7"/>
      <c r="I259" s="3"/>
    </row>
    <row r="260" spans="1:12">
      <c r="A260" s="1" t="s">
        <v>4</v>
      </c>
      <c r="C260" s="20" t="s">
        <v>462</v>
      </c>
      <c r="I260" s="3"/>
    </row>
    <row r="261" spans="1:12">
      <c r="A261" s="1" t="s">
        <v>5</v>
      </c>
      <c r="C261" s="20" t="s">
        <v>463</v>
      </c>
    </row>
    <row r="262" spans="1:12">
      <c r="A262" s="21"/>
      <c r="B262" s="21"/>
      <c r="C262" s="21"/>
      <c r="D262" s="21"/>
      <c r="E262" s="21"/>
      <c r="F262" s="21"/>
      <c r="G262" s="21"/>
      <c r="H262" s="21"/>
      <c r="I262" s="21"/>
      <c r="J262" s="21"/>
    </row>
    <row r="263" spans="1:12">
      <c r="A263" s="1"/>
      <c r="C263" s="22" t="s">
        <v>6</v>
      </c>
      <c r="D263" s="22" t="s">
        <v>435</v>
      </c>
      <c r="E263" s="22" t="s">
        <v>435</v>
      </c>
      <c r="F263" s="22" t="s">
        <v>435</v>
      </c>
      <c r="G263" s="22" t="s">
        <v>435</v>
      </c>
      <c r="H263" s="22" t="s">
        <v>435</v>
      </c>
      <c r="I263" s="22" t="s">
        <v>7</v>
      </c>
      <c r="J263" s="22" t="s">
        <v>8</v>
      </c>
      <c r="K263" s="22" t="s">
        <v>7</v>
      </c>
      <c r="L263" s="22" t="s">
        <v>9</v>
      </c>
    </row>
    <row r="264" spans="1:12">
      <c r="A264" s="22" t="s">
        <v>10</v>
      </c>
      <c r="B264" s="22" t="s">
        <v>11</v>
      </c>
      <c r="C264" s="22" t="s">
        <v>12</v>
      </c>
      <c r="D264" s="22" t="s">
        <v>13</v>
      </c>
      <c r="E264" s="22" t="s">
        <v>14</v>
      </c>
      <c r="F264" s="22" t="s">
        <v>15</v>
      </c>
      <c r="G264" s="22" t="s">
        <v>16</v>
      </c>
      <c r="H264" s="22" t="s">
        <v>17</v>
      </c>
      <c r="I264" s="22" t="s">
        <v>95</v>
      </c>
      <c r="J264" s="22" t="s">
        <v>18</v>
      </c>
      <c r="K264" s="22" t="s">
        <v>19</v>
      </c>
      <c r="L264" s="22" t="s">
        <v>20</v>
      </c>
    </row>
    <row r="265" spans="1:12">
      <c r="A265" s="23">
        <v>1</v>
      </c>
      <c r="B265" s="45">
        <v>200741810</v>
      </c>
      <c r="C265" s="60" t="s">
        <v>236</v>
      </c>
      <c r="D265" s="24">
        <v>3.7</v>
      </c>
      <c r="E265" s="24">
        <v>2.8</v>
      </c>
      <c r="F265" s="24">
        <v>1.05</v>
      </c>
      <c r="G265" s="24">
        <v>4.8</v>
      </c>
      <c r="H265" s="24">
        <v>0</v>
      </c>
      <c r="I265" s="24">
        <v>16</v>
      </c>
      <c r="J265" s="24">
        <f>+I265+H265+G265+F265+E265+D265</f>
        <v>28.35</v>
      </c>
      <c r="K265" s="24" t="s">
        <v>475</v>
      </c>
      <c r="L265" s="25">
        <f>+J265</f>
        <v>28.35</v>
      </c>
    </row>
    <row r="266" spans="1:12">
      <c r="A266" s="26">
        <v>2</v>
      </c>
      <c r="B266" s="45">
        <v>200741839</v>
      </c>
      <c r="C266" s="56" t="s">
        <v>237</v>
      </c>
      <c r="D266" s="24">
        <v>3.52</v>
      </c>
      <c r="E266" s="24">
        <v>3.5</v>
      </c>
      <c r="F266" s="24">
        <v>5.4</v>
      </c>
      <c r="G266" s="24">
        <v>8.4</v>
      </c>
      <c r="H266" s="24">
        <v>4.5599999999999996</v>
      </c>
      <c r="I266" s="24">
        <v>16</v>
      </c>
      <c r="J266" s="24">
        <f t="shared" ref="J266:J316" si="16">+I266+H266+G266+F266+E266+D266</f>
        <v>41.38</v>
      </c>
      <c r="K266" s="24">
        <v>8.4</v>
      </c>
      <c r="L266" s="25">
        <f t="shared" ref="L266:L314" si="17">+K266+J266</f>
        <v>49.78</v>
      </c>
    </row>
    <row r="267" spans="1:12">
      <c r="A267" s="27">
        <v>3</v>
      </c>
      <c r="B267" s="45">
        <v>200840223</v>
      </c>
      <c r="C267" s="56" t="s">
        <v>245</v>
      </c>
      <c r="D267" s="24">
        <v>1.76</v>
      </c>
      <c r="E267" s="24">
        <v>2.6</v>
      </c>
      <c r="F267" s="24">
        <v>0</v>
      </c>
      <c r="G267" s="24">
        <v>0</v>
      </c>
      <c r="H267" s="24">
        <v>0</v>
      </c>
      <c r="I267" s="24">
        <v>16</v>
      </c>
      <c r="J267" s="24">
        <f t="shared" si="16"/>
        <v>20.360000000000003</v>
      </c>
      <c r="K267" s="24" t="s">
        <v>475</v>
      </c>
      <c r="L267" s="25">
        <f>+J267</f>
        <v>20.360000000000003</v>
      </c>
    </row>
    <row r="268" spans="1:12">
      <c r="A268" s="26">
        <v>4</v>
      </c>
      <c r="B268" s="45">
        <v>200840255</v>
      </c>
      <c r="C268" s="56" t="s">
        <v>444</v>
      </c>
      <c r="D268" s="24">
        <v>1.76</v>
      </c>
      <c r="E268" s="24">
        <v>3</v>
      </c>
      <c r="F268" s="24">
        <v>0</v>
      </c>
      <c r="G268" s="24">
        <v>0</v>
      </c>
      <c r="H268" s="24">
        <v>0</v>
      </c>
      <c r="I268" s="24">
        <v>16</v>
      </c>
      <c r="J268" s="24">
        <f t="shared" si="16"/>
        <v>20.76</v>
      </c>
      <c r="K268" s="24" t="s">
        <v>475</v>
      </c>
      <c r="L268" s="25">
        <f>+J268</f>
        <v>20.76</v>
      </c>
    </row>
    <row r="269" spans="1:12">
      <c r="A269" s="26">
        <v>5</v>
      </c>
      <c r="B269" s="45">
        <v>200840267</v>
      </c>
      <c r="C269" s="56" t="s">
        <v>246</v>
      </c>
      <c r="D269" s="24">
        <v>2.2999999999999998</v>
      </c>
      <c r="E269" s="24">
        <v>5</v>
      </c>
      <c r="F269" s="24">
        <v>3</v>
      </c>
      <c r="G269" s="24">
        <v>11.4</v>
      </c>
      <c r="H269" s="24">
        <v>4.32</v>
      </c>
      <c r="I269" s="24">
        <v>16</v>
      </c>
      <c r="J269" s="24">
        <f t="shared" si="16"/>
        <v>42.019999999999996</v>
      </c>
      <c r="K269" s="24">
        <v>5.6</v>
      </c>
      <c r="L269" s="25">
        <f t="shared" si="17"/>
        <v>47.62</v>
      </c>
    </row>
    <row r="270" spans="1:12">
      <c r="A270" s="26">
        <v>6</v>
      </c>
      <c r="B270" s="45">
        <v>200840270</v>
      </c>
      <c r="C270" s="56" t="s">
        <v>247</v>
      </c>
      <c r="D270" s="24">
        <v>3.35</v>
      </c>
      <c r="E270" s="24">
        <v>3.6</v>
      </c>
      <c r="F270" s="24">
        <v>2.5499999999999998</v>
      </c>
      <c r="G270" s="24">
        <v>5.4</v>
      </c>
      <c r="H270" s="24">
        <v>2.4</v>
      </c>
      <c r="I270" s="24">
        <v>16</v>
      </c>
      <c r="J270" s="24">
        <f t="shared" si="16"/>
        <v>33.299999999999997</v>
      </c>
      <c r="K270" s="24" t="s">
        <v>475</v>
      </c>
      <c r="L270" s="25">
        <f>+J270</f>
        <v>33.299999999999997</v>
      </c>
    </row>
    <row r="271" spans="1:12">
      <c r="A271" s="26">
        <v>7</v>
      </c>
      <c r="B271" s="45">
        <v>200842104</v>
      </c>
      <c r="C271" s="56" t="s">
        <v>250</v>
      </c>
      <c r="D271" s="24">
        <v>4.41</v>
      </c>
      <c r="E271" s="24">
        <v>4</v>
      </c>
      <c r="F271" s="24">
        <v>4.3499999999999996</v>
      </c>
      <c r="G271" s="24">
        <v>7.8</v>
      </c>
      <c r="H271" s="24">
        <v>5.52</v>
      </c>
      <c r="I271" s="24">
        <v>16</v>
      </c>
      <c r="J271" s="24">
        <f t="shared" si="16"/>
        <v>42.08</v>
      </c>
      <c r="K271" s="24">
        <v>15.2</v>
      </c>
      <c r="L271" s="25">
        <f t="shared" si="17"/>
        <v>57.28</v>
      </c>
    </row>
    <row r="272" spans="1:12">
      <c r="A272" s="26">
        <v>8</v>
      </c>
      <c r="B272" s="45">
        <v>200842109</v>
      </c>
      <c r="C272" s="60" t="s">
        <v>251</v>
      </c>
      <c r="D272" s="24">
        <v>3.7</v>
      </c>
      <c r="E272" s="24">
        <v>4.2</v>
      </c>
      <c r="F272" s="24">
        <v>3.15</v>
      </c>
      <c r="G272" s="24">
        <v>9.6</v>
      </c>
      <c r="H272" s="24">
        <v>3.95</v>
      </c>
      <c r="I272" s="24">
        <v>16</v>
      </c>
      <c r="J272" s="24">
        <f t="shared" si="16"/>
        <v>40.6</v>
      </c>
      <c r="K272" s="24" t="s">
        <v>475</v>
      </c>
      <c r="L272" s="25">
        <f>+J272</f>
        <v>40.6</v>
      </c>
    </row>
    <row r="273" spans="1:12">
      <c r="A273" s="26">
        <v>9</v>
      </c>
      <c r="B273" s="45">
        <v>200842115</v>
      </c>
      <c r="C273" s="56" t="s">
        <v>253</v>
      </c>
      <c r="D273" s="24">
        <v>1.76</v>
      </c>
      <c r="E273" s="24">
        <v>3.6</v>
      </c>
      <c r="F273" s="24">
        <v>4.6500000000000004</v>
      </c>
      <c r="G273" s="24">
        <v>6.6</v>
      </c>
      <c r="H273" s="24">
        <v>4.8</v>
      </c>
      <c r="I273" s="24">
        <v>16</v>
      </c>
      <c r="J273" s="24">
        <f t="shared" si="16"/>
        <v>37.409999999999997</v>
      </c>
      <c r="K273" s="24" t="s">
        <v>475</v>
      </c>
      <c r="L273" s="25">
        <f t="shared" ref="L273:L275" si="18">+J273</f>
        <v>37.409999999999997</v>
      </c>
    </row>
    <row r="274" spans="1:12">
      <c r="A274" s="26">
        <v>10</v>
      </c>
      <c r="B274" s="45">
        <v>200842125</v>
      </c>
      <c r="C274" s="56" t="s">
        <v>254</v>
      </c>
      <c r="D274" s="24">
        <v>4.58</v>
      </c>
      <c r="E274" s="24">
        <v>2.6</v>
      </c>
      <c r="F274" s="24">
        <v>0</v>
      </c>
      <c r="G274" s="24">
        <v>0</v>
      </c>
      <c r="H274" s="24">
        <v>0</v>
      </c>
      <c r="I274" s="24">
        <v>16</v>
      </c>
      <c r="J274" s="24">
        <f t="shared" si="16"/>
        <v>23.18</v>
      </c>
      <c r="K274" s="24" t="s">
        <v>475</v>
      </c>
      <c r="L274" s="25">
        <f t="shared" si="18"/>
        <v>23.18</v>
      </c>
    </row>
    <row r="275" spans="1:12">
      <c r="A275" s="26">
        <v>11</v>
      </c>
      <c r="B275" s="45">
        <v>200842134</v>
      </c>
      <c r="C275" s="56" t="s">
        <v>255</v>
      </c>
      <c r="D275" s="24">
        <v>0.88</v>
      </c>
      <c r="E275" s="24">
        <v>2.4</v>
      </c>
      <c r="F275" s="24">
        <v>3.6</v>
      </c>
      <c r="G275" s="24">
        <v>6</v>
      </c>
      <c r="H275" s="28">
        <v>1.92</v>
      </c>
      <c r="I275" s="24">
        <v>16</v>
      </c>
      <c r="J275" s="24">
        <f t="shared" si="16"/>
        <v>30.8</v>
      </c>
      <c r="K275" s="24" t="s">
        <v>475</v>
      </c>
      <c r="L275" s="25">
        <f t="shared" si="18"/>
        <v>30.8</v>
      </c>
    </row>
    <row r="276" spans="1:12">
      <c r="A276" s="26">
        <v>12</v>
      </c>
      <c r="B276" s="45">
        <v>200842427</v>
      </c>
      <c r="C276" s="56" t="s">
        <v>256</v>
      </c>
      <c r="D276" s="24">
        <v>4.2300000000000004</v>
      </c>
      <c r="E276" s="24">
        <v>6</v>
      </c>
      <c r="F276" s="24">
        <v>8.5500000000000007</v>
      </c>
      <c r="G276" s="24">
        <v>10.199999999999999</v>
      </c>
      <c r="H276" s="28">
        <v>0</v>
      </c>
      <c r="I276" s="24">
        <v>16</v>
      </c>
      <c r="J276" s="24">
        <f t="shared" si="16"/>
        <v>44.980000000000004</v>
      </c>
      <c r="K276" s="24" t="s">
        <v>476</v>
      </c>
      <c r="L276" s="25">
        <v>44.98</v>
      </c>
    </row>
    <row r="277" spans="1:12">
      <c r="A277" s="26">
        <v>13</v>
      </c>
      <c r="B277" s="45">
        <v>200842674</v>
      </c>
      <c r="C277" s="60" t="s">
        <v>259</v>
      </c>
      <c r="D277" s="24">
        <v>5.82</v>
      </c>
      <c r="E277" s="24">
        <v>5.8</v>
      </c>
      <c r="F277" s="24">
        <v>7.8</v>
      </c>
      <c r="G277" s="24">
        <v>10.199999999999999</v>
      </c>
      <c r="H277" s="28">
        <v>5.04</v>
      </c>
      <c r="I277" s="24">
        <v>16</v>
      </c>
      <c r="J277" s="24">
        <f t="shared" si="16"/>
        <v>50.66</v>
      </c>
      <c r="K277" s="24">
        <v>13.2</v>
      </c>
      <c r="L277" s="25">
        <f t="shared" si="17"/>
        <v>63.86</v>
      </c>
    </row>
    <row r="278" spans="1:12">
      <c r="A278" s="23">
        <v>14</v>
      </c>
      <c r="B278" s="45">
        <v>200940321</v>
      </c>
      <c r="C278" s="58" t="s">
        <v>261</v>
      </c>
      <c r="D278" s="24">
        <v>2.82</v>
      </c>
      <c r="E278" s="24">
        <v>3</v>
      </c>
      <c r="F278" s="24">
        <v>1.65</v>
      </c>
      <c r="G278" s="24">
        <v>4.8</v>
      </c>
      <c r="H278" s="28">
        <v>0</v>
      </c>
      <c r="I278" s="24">
        <v>16</v>
      </c>
      <c r="J278" s="24">
        <f t="shared" si="16"/>
        <v>28.27</v>
      </c>
      <c r="K278" s="24" t="s">
        <v>475</v>
      </c>
      <c r="L278" s="25">
        <f>+J278</f>
        <v>28.27</v>
      </c>
    </row>
    <row r="279" spans="1:12">
      <c r="A279" s="23">
        <v>15</v>
      </c>
      <c r="B279" s="57">
        <v>200940333</v>
      </c>
      <c r="C279" s="56" t="s">
        <v>262</v>
      </c>
      <c r="D279" s="24">
        <v>6.52</v>
      </c>
      <c r="E279" s="24">
        <v>5.8</v>
      </c>
      <c r="F279" s="24">
        <v>5.55</v>
      </c>
      <c r="G279" s="24">
        <v>10.8</v>
      </c>
      <c r="H279" s="24">
        <v>6.48</v>
      </c>
      <c r="I279" s="24">
        <v>16</v>
      </c>
      <c r="J279" s="24">
        <f t="shared" si="16"/>
        <v>51.149999999999991</v>
      </c>
      <c r="K279" s="24">
        <v>17.2</v>
      </c>
      <c r="L279" s="25">
        <f t="shared" si="17"/>
        <v>68.349999999999994</v>
      </c>
    </row>
    <row r="280" spans="1:12">
      <c r="A280" s="23">
        <v>16</v>
      </c>
      <c r="B280" s="45">
        <v>200940343</v>
      </c>
      <c r="C280" s="58" t="s">
        <v>263</v>
      </c>
      <c r="D280" s="24">
        <v>5.1100000000000003</v>
      </c>
      <c r="E280" s="24">
        <v>5</v>
      </c>
      <c r="F280" s="24">
        <v>3.96</v>
      </c>
      <c r="G280" s="24">
        <v>9</v>
      </c>
      <c r="H280" s="24">
        <v>7.2</v>
      </c>
      <c r="I280" s="24">
        <v>16</v>
      </c>
      <c r="J280" s="24">
        <f t="shared" si="16"/>
        <v>46.27</v>
      </c>
      <c r="K280" s="24">
        <v>15.6</v>
      </c>
      <c r="L280" s="25">
        <f t="shared" si="17"/>
        <v>61.870000000000005</v>
      </c>
    </row>
    <row r="281" spans="1:12">
      <c r="A281" s="23">
        <v>17</v>
      </c>
      <c r="B281" s="45">
        <v>200940354</v>
      </c>
      <c r="C281" s="56" t="s">
        <v>264</v>
      </c>
      <c r="D281" s="24">
        <v>8.11</v>
      </c>
      <c r="E281" s="24">
        <v>3.8</v>
      </c>
      <c r="F281" s="24">
        <v>4.8</v>
      </c>
      <c r="G281" s="24">
        <v>9.6</v>
      </c>
      <c r="H281" s="24">
        <v>6</v>
      </c>
      <c r="I281" s="24">
        <v>16</v>
      </c>
      <c r="J281" s="24">
        <f t="shared" si="16"/>
        <v>48.309999999999995</v>
      </c>
      <c r="K281" s="24">
        <v>12.464</v>
      </c>
      <c r="L281" s="25">
        <f t="shared" si="17"/>
        <v>60.773999999999994</v>
      </c>
    </row>
    <row r="282" spans="1:12">
      <c r="A282" s="27">
        <v>18</v>
      </c>
      <c r="B282" s="45">
        <v>200940364</v>
      </c>
      <c r="C282" s="60" t="s">
        <v>265</v>
      </c>
      <c r="D282" s="24">
        <v>4.58</v>
      </c>
      <c r="E282" s="24">
        <v>4</v>
      </c>
      <c r="F282" s="24">
        <v>7.65</v>
      </c>
      <c r="G282" s="24">
        <v>8.4</v>
      </c>
      <c r="H282" s="24">
        <v>1.92</v>
      </c>
      <c r="I282" s="24">
        <v>16</v>
      </c>
      <c r="J282" s="24">
        <f t="shared" si="16"/>
        <v>42.55</v>
      </c>
      <c r="K282" s="24">
        <v>5.6</v>
      </c>
      <c r="L282" s="25">
        <f t="shared" si="17"/>
        <v>48.15</v>
      </c>
    </row>
    <row r="283" spans="1:12">
      <c r="A283" s="27">
        <v>19</v>
      </c>
      <c r="B283" s="45">
        <v>200940366</v>
      </c>
      <c r="C283" s="56" t="s">
        <v>266</v>
      </c>
      <c r="D283" s="24">
        <v>2.82</v>
      </c>
      <c r="E283" s="24">
        <v>6</v>
      </c>
      <c r="F283" s="24">
        <v>6</v>
      </c>
      <c r="G283" s="24">
        <v>10.8</v>
      </c>
      <c r="H283" s="24">
        <v>8.16</v>
      </c>
      <c r="I283" s="24">
        <v>16</v>
      </c>
      <c r="J283" s="24">
        <f t="shared" si="16"/>
        <v>49.78</v>
      </c>
      <c r="K283" s="24">
        <v>15.2</v>
      </c>
      <c r="L283" s="25">
        <f t="shared" si="17"/>
        <v>64.98</v>
      </c>
    </row>
    <row r="284" spans="1:12">
      <c r="A284" s="27">
        <v>20</v>
      </c>
      <c r="B284" s="45">
        <v>200940367</v>
      </c>
      <c r="C284" s="56" t="s">
        <v>267</v>
      </c>
      <c r="D284" s="24">
        <v>5.1100000000000003</v>
      </c>
      <c r="E284" s="24">
        <v>5.4</v>
      </c>
      <c r="F284" s="24">
        <v>4.05</v>
      </c>
      <c r="G284" s="24">
        <v>10.199999999999999</v>
      </c>
      <c r="H284" s="24">
        <v>5.04</v>
      </c>
      <c r="I284" s="24">
        <v>16</v>
      </c>
      <c r="J284" s="24">
        <f t="shared" si="16"/>
        <v>45.8</v>
      </c>
      <c r="K284" s="24">
        <v>11.2</v>
      </c>
      <c r="L284" s="25">
        <f t="shared" si="17"/>
        <v>57</v>
      </c>
    </row>
    <row r="285" spans="1:12">
      <c r="A285" s="27">
        <v>21</v>
      </c>
      <c r="B285" s="45">
        <v>200940368</v>
      </c>
      <c r="C285" s="56" t="s">
        <v>268</v>
      </c>
      <c r="D285" s="24">
        <v>5.82</v>
      </c>
      <c r="E285" s="24">
        <v>6</v>
      </c>
      <c r="F285" s="24">
        <v>7.35</v>
      </c>
      <c r="G285" s="24">
        <v>10.8</v>
      </c>
      <c r="H285" s="24">
        <v>7.44</v>
      </c>
      <c r="I285" s="24">
        <v>16</v>
      </c>
      <c r="J285" s="24">
        <f t="shared" si="16"/>
        <v>53.410000000000004</v>
      </c>
      <c r="K285" s="24">
        <v>17.2</v>
      </c>
      <c r="L285" s="25">
        <f t="shared" si="17"/>
        <v>70.61</v>
      </c>
    </row>
    <row r="286" spans="1:12">
      <c r="A286" s="27">
        <v>22</v>
      </c>
      <c r="B286" s="45">
        <v>200940370</v>
      </c>
      <c r="C286" s="58" t="s">
        <v>269</v>
      </c>
      <c r="D286" s="24">
        <v>2.82</v>
      </c>
      <c r="E286" s="24">
        <v>5.2</v>
      </c>
      <c r="F286" s="24">
        <v>5.85</v>
      </c>
      <c r="G286" s="24">
        <v>9</v>
      </c>
      <c r="H286" s="24">
        <v>4.32</v>
      </c>
      <c r="I286" s="24">
        <v>16</v>
      </c>
      <c r="J286" s="24">
        <f t="shared" si="16"/>
        <v>43.190000000000005</v>
      </c>
      <c r="K286" s="24">
        <v>12</v>
      </c>
      <c r="L286" s="25">
        <f t="shared" si="17"/>
        <v>55.190000000000005</v>
      </c>
    </row>
    <row r="287" spans="1:12">
      <c r="A287" s="27">
        <v>23</v>
      </c>
      <c r="B287" s="57">
        <v>200940431</v>
      </c>
      <c r="C287" s="60" t="s">
        <v>270</v>
      </c>
      <c r="D287" s="24">
        <v>5.82</v>
      </c>
      <c r="E287" s="24">
        <v>4.2</v>
      </c>
      <c r="F287" s="24">
        <v>5.55</v>
      </c>
      <c r="G287" s="24">
        <v>9.6</v>
      </c>
      <c r="H287" s="24">
        <v>6.48</v>
      </c>
      <c r="I287" s="24">
        <v>16</v>
      </c>
      <c r="J287" s="24">
        <f t="shared" si="16"/>
        <v>47.65</v>
      </c>
      <c r="K287" s="24">
        <v>15.2</v>
      </c>
      <c r="L287" s="25">
        <f t="shared" si="17"/>
        <v>62.849999999999994</v>
      </c>
    </row>
    <row r="288" spans="1:12">
      <c r="A288" s="27">
        <v>24</v>
      </c>
      <c r="B288" s="45">
        <v>200940435</v>
      </c>
      <c r="C288" s="60" t="s">
        <v>271</v>
      </c>
      <c r="D288" s="24">
        <v>4.05</v>
      </c>
      <c r="E288" s="24">
        <v>2.6</v>
      </c>
      <c r="F288" s="24">
        <v>3</v>
      </c>
      <c r="G288" s="24">
        <v>10.8</v>
      </c>
      <c r="H288" s="24">
        <f>76*0.12</f>
        <v>9.1199999999999992</v>
      </c>
      <c r="I288" s="24">
        <v>16</v>
      </c>
      <c r="J288" s="24">
        <f t="shared" si="16"/>
        <v>45.57</v>
      </c>
      <c r="K288" s="24">
        <v>15.2</v>
      </c>
      <c r="L288" s="25">
        <f>+K288+J288</f>
        <v>60.769999999999996</v>
      </c>
    </row>
    <row r="289" spans="1:12">
      <c r="A289" s="27">
        <v>25</v>
      </c>
      <c r="B289" s="57">
        <v>200940488</v>
      </c>
      <c r="C289" s="60" t="s">
        <v>272</v>
      </c>
      <c r="D289" s="24">
        <v>4.05</v>
      </c>
      <c r="E289" s="24">
        <v>2.8</v>
      </c>
      <c r="F289" s="24">
        <v>2.5499999999999998</v>
      </c>
      <c r="G289" s="24">
        <v>9.6</v>
      </c>
      <c r="H289" s="24">
        <v>2.88</v>
      </c>
      <c r="I289" s="24">
        <v>16</v>
      </c>
      <c r="J289" s="24">
        <f t="shared" si="16"/>
        <v>37.879999999999995</v>
      </c>
      <c r="K289" s="24" t="s">
        <v>475</v>
      </c>
      <c r="L289" s="25">
        <f>+J289</f>
        <v>37.879999999999995</v>
      </c>
    </row>
    <row r="290" spans="1:12">
      <c r="A290" s="27">
        <v>26</v>
      </c>
      <c r="B290" s="57">
        <v>200940494</v>
      </c>
      <c r="C290" s="60" t="s">
        <v>273</v>
      </c>
      <c r="D290" s="24">
        <v>5.29</v>
      </c>
      <c r="E290" s="24">
        <v>3.5</v>
      </c>
      <c r="F290" s="24">
        <v>5.4</v>
      </c>
      <c r="G290" s="24">
        <v>10.199999999999999</v>
      </c>
      <c r="H290" s="24">
        <v>5.52</v>
      </c>
      <c r="I290" s="24">
        <v>16</v>
      </c>
      <c r="J290" s="24">
        <f t="shared" si="16"/>
        <v>45.91</v>
      </c>
      <c r="K290" s="24">
        <v>15.4</v>
      </c>
      <c r="L290" s="25">
        <f t="shared" si="17"/>
        <v>61.309999999999995</v>
      </c>
    </row>
    <row r="291" spans="1:12">
      <c r="A291" s="27">
        <v>27</v>
      </c>
      <c r="B291" s="45">
        <v>200940495</v>
      </c>
      <c r="C291" s="56" t="s">
        <v>274</v>
      </c>
      <c r="D291" s="24">
        <v>3.53</v>
      </c>
      <c r="E291" s="24">
        <v>4.2</v>
      </c>
      <c r="F291" s="24">
        <v>2.85</v>
      </c>
      <c r="G291" s="24">
        <v>8.4</v>
      </c>
      <c r="H291" s="24">
        <v>0</v>
      </c>
      <c r="I291" s="24">
        <v>16</v>
      </c>
      <c r="J291" s="24">
        <f t="shared" si="16"/>
        <v>34.979999999999997</v>
      </c>
      <c r="K291" s="24" t="s">
        <v>475</v>
      </c>
      <c r="L291" s="25">
        <f>+J291</f>
        <v>34.979999999999997</v>
      </c>
    </row>
    <row r="292" spans="1:12">
      <c r="A292" s="27">
        <v>28</v>
      </c>
      <c r="B292" s="57">
        <v>200940497</v>
      </c>
      <c r="C292" s="56" t="s">
        <v>275</v>
      </c>
      <c r="D292" s="24">
        <v>2.82</v>
      </c>
      <c r="E292" s="24">
        <v>3.8</v>
      </c>
      <c r="F292" s="24">
        <v>2.5499999999999998</v>
      </c>
      <c r="G292" s="24">
        <v>9</v>
      </c>
      <c r="H292" s="24">
        <v>0</v>
      </c>
      <c r="I292" s="24">
        <v>16</v>
      </c>
      <c r="J292" s="24">
        <f t="shared" si="16"/>
        <v>34.17</v>
      </c>
      <c r="K292" s="24" t="s">
        <v>475</v>
      </c>
      <c r="L292" s="25">
        <f>+J292</f>
        <v>34.17</v>
      </c>
    </row>
    <row r="293" spans="1:12">
      <c r="A293" s="27">
        <v>29</v>
      </c>
      <c r="B293" s="45">
        <v>200940507</v>
      </c>
      <c r="C293" s="58" t="s">
        <v>276</v>
      </c>
      <c r="D293" s="24">
        <v>7.58</v>
      </c>
      <c r="E293" s="24">
        <v>4.8</v>
      </c>
      <c r="F293" s="24">
        <v>6.15</v>
      </c>
      <c r="G293" s="24">
        <v>10.8</v>
      </c>
      <c r="H293" s="24">
        <v>6</v>
      </c>
      <c r="I293" s="24">
        <v>16</v>
      </c>
      <c r="J293" s="24">
        <f t="shared" si="16"/>
        <v>51.329999999999991</v>
      </c>
      <c r="K293" s="24">
        <v>16</v>
      </c>
      <c r="L293" s="25">
        <f t="shared" si="17"/>
        <v>67.329999999999984</v>
      </c>
    </row>
    <row r="294" spans="1:12">
      <c r="A294" s="27">
        <v>30</v>
      </c>
      <c r="B294" s="45">
        <v>200940508</v>
      </c>
      <c r="C294" s="60" t="s">
        <v>277</v>
      </c>
      <c r="D294" s="24">
        <v>4.76</v>
      </c>
      <c r="E294" s="24">
        <v>4.2</v>
      </c>
      <c r="F294" s="24">
        <v>5.25</v>
      </c>
      <c r="G294" s="24">
        <v>10.8</v>
      </c>
      <c r="H294" s="24">
        <v>5.52</v>
      </c>
      <c r="I294" s="24">
        <v>16</v>
      </c>
      <c r="J294" s="24">
        <f t="shared" si="16"/>
        <v>46.53</v>
      </c>
      <c r="K294" s="24">
        <v>14.3</v>
      </c>
      <c r="L294" s="25">
        <f t="shared" si="17"/>
        <v>60.83</v>
      </c>
    </row>
    <row r="295" spans="1:12">
      <c r="A295" s="27">
        <v>31</v>
      </c>
      <c r="B295" s="45">
        <v>200940529</v>
      </c>
      <c r="C295" s="56" t="s">
        <v>278</v>
      </c>
      <c r="D295" s="24">
        <v>7.76</v>
      </c>
      <c r="E295" s="24">
        <v>5.8</v>
      </c>
      <c r="F295" s="24">
        <v>8.5500000000000007</v>
      </c>
      <c r="G295" s="24">
        <v>11.4</v>
      </c>
      <c r="H295" s="24">
        <v>6.24</v>
      </c>
      <c r="I295" s="24">
        <v>16</v>
      </c>
      <c r="J295" s="24">
        <f t="shared" si="16"/>
        <v>55.749999999999993</v>
      </c>
      <c r="K295" s="24">
        <v>16.8</v>
      </c>
      <c r="L295" s="25">
        <f t="shared" si="17"/>
        <v>72.55</v>
      </c>
    </row>
    <row r="296" spans="1:12">
      <c r="A296" s="27">
        <v>32</v>
      </c>
      <c r="B296" s="45">
        <v>200940533</v>
      </c>
      <c r="C296" s="56" t="s">
        <v>279</v>
      </c>
      <c r="D296" s="24">
        <v>2.11</v>
      </c>
      <c r="E296" s="24">
        <v>2</v>
      </c>
      <c r="F296" s="24">
        <v>0</v>
      </c>
      <c r="G296" s="24">
        <v>0</v>
      </c>
      <c r="H296" s="24">
        <v>0</v>
      </c>
      <c r="I296" s="24">
        <v>16</v>
      </c>
      <c r="J296" s="24">
        <f t="shared" si="16"/>
        <v>20.11</v>
      </c>
      <c r="K296" s="24" t="s">
        <v>475</v>
      </c>
      <c r="L296" s="25">
        <f>+J296</f>
        <v>20.11</v>
      </c>
    </row>
    <row r="297" spans="1:12">
      <c r="A297" s="27">
        <v>33</v>
      </c>
      <c r="B297" s="57">
        <v>200941310</v>
      </c>
      <c r="C297" s="56" t="s">
        <v>280</v>
      </c>
      <c r="D297" s="24">
        <v>0.35</v>
      </c>
      <c r="E297" s="24">
        <v>3.8</v>
      </c>
      <c r="F297" s="24">
        <v>1.65</v>
      </c>
      <c r="G297" s="24">
        <v>9.6</v>
      </c>
      <c r="H297" s="24">
        <v>3.12</v>
      </c>
      <c r="I297" s="24">
        <v>16</v>
      </c>
      <c r="J297" s="24">
        <f t="shared" si="16"/>
        <v>34.519999999999996</v>
      </c>
      <c r="K297" s="24" t="s">
        <v>475</v>
      </c>
      <c r="L297" s="25">
        <f>+J297</f>
        <v>34.519999999999996</v>
      </c>
    </row>
    <row r="298" spans="1:12">
      <c r="A298" s="27">
        <v>34</v>
      </c>
      <c r="B298" s="45">
        <v>200941429</v>
      </c>
      <c r="C298" s="56" t="s">
        <v>281</v>
      </c>
      <c r="D298" s="24">
        <v>4.2300000000000004</v>
      </c>
      <c r="E298" s="24">
        <v>4</v>
      </c>
      <c r="F298" s="24">
        <v>3.75</v>
      </c>
      <c r="G298" s="24">
        <v>9.6</v>
      </c>
      <c r="H298" s="24">
        <v>6.24</v>
      </c>
      <c r="I298" s="24">
        <v>16</v>
      </c>
      <c r="J298" s="24">
        <f t="shared" si="16"/>
        <v>43.820000000000007</v>
      </c>
      <c r="K298" s="24">
        <v>12.4</v>
      </c>
      <c r="L298" s="25">
        <f t="shared" si="17"/>
        <v>56.220000000000006</v>
      </c>
    </row>
    <row r="299" spans="1:12">
      <c r="A299" s="27">
        <v>35</v>
      </c>
      <c r="B299" s="45">
        <v>200941431</v>
      </c>
      <c r="C299" s="56" t="s">
        <v>282</v>
      </c>
      <c r="D299" s="24">
        <v>3</v>
      </c>
      <c r="E299" s="24">
        <v>4.2</v>
      </c>
      <c r="F299" s="24">
        <v>3.45</v>
      </c>
      <c r="G299" s="24">
        <v>10.199999999999999</v>
      </c>
      <c r="H299" s="24">
        <v>3.84</v>
      </c>
      <c r="I299" s="24">
        <v>16</v>
      </c>
      <c r="J299" s="24">
        <f t="shared" si="16"/>
        <v>40.690000000000005</v>
      </c>
      <c r="K299" s="24" t="s">
        <v>475</v>
      </c>
      <c r="L299" s="25">
        <f>+J299</f>
        <v>40.690000000000005</v>
      </c>
    </row>
    <row r="300" spans="1:12">
      <c r="A300" s="27">
        <v>36</v>
      </c>
      <c r="B300" s="45">
        <v>200942148</v>
      </c>
      <c r="C300" s="60" t="s">
        <v>283</v>
      </c>
      <c r="D300" s="24">
        <v>2.82</v>
      </c>
      <c r="E300" s="24">
        <v>4.5999999999999996</v>
      </c>
      <c r="F300" s="24">
        <v>6.15</v>
      </c>
      <c r="G300" s="24">
        <v>8.4</v>
      </c>
      <c r="H300" s="24">
        <v>4.08</v>
      </c>
      <c r="I300" s="24">
        <v>16</v>
      </c>
      <c r="J300" s="24">
        <f t="shared" si="16"/>
        <v>42.05</v>
      </c>
      <c r="K300" s="24">
        <v>10</v>
      </c>
      <c r="L300" s="25">
        <f t="shared" si="17"/>
        <v>52.05</v>
      </c>
    </row>
    <row r="301" spans="1:12">
      <c r="A301" s="27">
        <v>37</v>
      </c>
      <c r="B301" s="45">
        <v>200942756</v>
      </c>
      <c r="C301" s="56" t="s">
        <v>284</v>
      </c>
      <c r="D301" s="24">
        <v>3.88</v>
      </c>
      <c r="E301" s="24">
        <v>2</v>
      </c>
      <c r="F301" s="24">
        <v>1.65</v>
      </c>
      <c r="G301" s="24">
        <v>0</v>
      </c>
      <c r="H301" s="24">
        <v>0</v>
      </c>
      <c r="I301" s="24">
        <v>16</v>
      </c>
      <c r="J301" s="24">
        <f t="shared" si="16"/>
        <v>23.529999999999998</v>
      </c>
      <c r="K301" s="24" t="s">
        <v>475</v>
      </c>
      <c r="L301" s="25">
        <f>+J301</f>
        <v>23.529999999999998</v>
      </c>
    </row>
    <row r="302" spans="1:12">
      <c r="A302" s="27">
        <v>38</v>
      </c>
      <c r="B302" s="57">
        <v>200942839</v>
      </c>
      <c r="C302" s="58" t="s">
        <v>285</v>
      </c>
      <c r="D302" s="24">
        <v>3.88</v>
      </c>
      <c r="E302" s="24">
        <v>4.2</v>
      </c>
      <c r="F302" s="24">
        <v>2.7</v>
      </c>
      <c r="G302" s="24">
        <v>6.6</v>
      </c>
      <c r="H302" s="24">
        <v>4.32</v>
      </c>
      <c r="I302" s="24">
        <v>16</v>
      </c>
      <c r="J302" s="24">
        <f t="shared" si="16"/>
        <v>37.700000000000003</v>
      </c>
      <c r="K302" s="24" t="s">
        <v>475</v>
      </c>
      <c r="L302" s="25">
        <f t="shared" ref="L302" si="19">+J302</f>
        <v>37.700000000000003</v>
      </c>
    </row>
    <row r="303" spans="1:12">
      <c r="A303" s="27">
        <v>39</v>
      </c>
      <c r="B303" s="45">
        <v>200942841</v>
      </c>
      <c r="C303" s="56" t="s">
        <v>286</v>
      </c>
      <c r="D303" s="24">
        <v>5.47</v>
      </c>
      <c r="E303" s="24">
        <v>2.8</v>
      </c>
      <c r="F303" s="24">
        <v>3</v>
      </c>
      <c r="G303" s="24">
        <v>9</v>
      </c>
      <c r="H303" s="24">
        <v>4.7300000000000004</v>
      </c>
      <c r="I303" s="24">
        <v>16</v>
      </c>
      <c r="J303" s="24">
        <f t="shared" si="16"/>
        <v>41</v>
      </c>
      <c r="K303" s="24">
        <v>6</v>
      </c>
      <c r="L303" s="25">
        <f>+K303+J303</f>
        <v>47</v>
      </c>
    </row>
    <row r="304" spans="1:12">
      <c r="A304" s="27">
        <v>40</v>
      </c>
      <c r="B304" s="45">
        <v>200943124</v>
      </c>
      <c r="C304" s="56" t="s">
        <v>364</v>
      </c>
      <c r="D304" s="24">
        <f>E304</f>
        <v>3.6</v>
      </c>
      <c r="E304" s="24">
        <v>3.6</v>
      </c>
      <c r="F304" s="24">
        <v>7.5</v>
      </c>
      <c r="G304" s="24">
        <v>7.8</v>
      </c>
      <c r="H304" s="24">
        <v>3.12</v>
      </c>
      <c r="I304" s="24">
        <v>16</v>
      </c>
      <c r="J304" s="24">
        <f t="shared" si="16"/>
        <v>41.620000000000005</v>
      </c>
      <c r="K304" s="24" t="s">
        <v>476</v>
      </c>
      <c r="L304" s="25">
        <v>41.62</v>
      </c>
    </row>
    <row r="305" spans="1:12">
      <c r="A305" s="27">
        <v>41</v>
      </c>
      <c r="B305" s="45">
        <v>200943129</v>
      </c>
      <c r="C305" s="59" t="s">
        <v>287</v>
      </c>
      <c r="D305" s="24">
        <v>2.82</v>
      </c>
      <c r="E305" s="24">
        <v>1.8</v>
      </c>
      <c r="F305" s="24">
        <v>1.05</v>
      </c>
      <c r="G305" s="24">
        <v>0</v>
      </c>
      <c r="H305" s="24">
        <v>0</v>
      </c>
      <c r="I305" s="24">
        <v>16</v>
      </c>
      <c r="J305" s="24">
        <f t="shared" si="16"/>
        <v>21.67</v>
      </c>
      <c r="K305" s="24" t="s">
        <v>475</v>
      </c>
      <c r="L305" s="25">
        <f>+J305</f>
        <v>21.67</v>
      </c>
    </row>
    <row r="306" spans="1:12">
      <c r="A306" s="27">
        <v>42</v>
      </c>
      <c r="B306" s="45">
        <v>200943311</v>
      </c>
      <c r="C306" s="56" t="s">
        <v>288</v>
      </c>
      <c r="D306" s="24">
        <v>3.17</v>
      </c>
      <c r="E306" s="24">
        <v>5.2</v>
      </c>
      <c r="F306" s="24">
        <v>3.75</v>
      </c>
      <c r="G306" s="24">
        <v>10.199999999999999</v>
      </c>
      <c r="H306" s="24">
        <v>7.44</v>
      </c>
      <c r="I306" s="24">
        <v>16</v>
      </c>
      <c r="J306" s="24">
        <f t="shared" si="16"/>
        <v>45.760000000000005</v>
      </c>
      <c r="K306" s="24">
        <v>11.2</v>
      </c>
      <c r="L306" s="25">
        <f t="shared" si="17"/>
        <v>56.960000000000008</v>
      </c>
    </row>
    <row r="307" spans="1:12">
      <c r="A307" s="27">
        <v>43</v>
      </c>
      <c r="B307" s="45">
        <v>200943324</v>
      </c>
      <c r="C307" s="56" t="s">
        <v>289</v>
      </c>
      <c r="D307" s="24">
        <v>1.23</v>
      </c>
      <c r="E307" s="24">
        <v>3.8</v>
      </c>
      <c r="F307" s="24">
        <v>3.9</v>
      </c>
      <c r="G307" s="24">
        <v>8.4</v>
      </c>
      <c r="H307" s="24">
        <v>4.08</v>
      </c>
      <c r="I307" s="24">
        <v>16</v>
      </c>
      <c r="J307" s="24">
        <f t="shared" si="16"/>
        <v>37.409999999999989</v>
      </c>
      <c r="K307" s="24" t="s">
        <v>475</v>
      </c>
      <c r="L307" s="25">
        <f>+J307</f>
        <v>37.409999999999989</v>
      </c>
    </row>
    <row r="308" spans="1:12">
      <c r="A308" s="27">
        <v>44</v>
      </c>
      <c r="B308" s="45">
        <v>200943328</v>
      </c>
      <c r="C308" s="56" t="s">
        <v>290</v>
      </c>
      <c r="D308" s="24">
        <v>1.06</v>
      </c>
      <c r="E308" s="24">
        <v>3</v>
      </c>
      <c r="F308" s="24">
        <v>2.25</v>
      </c>
      <c r="G308" s="24">
        <v>4.2</v>
      </c>
      <c r="H308" s="24">
        <v>0</v>
      </c>
      <c r="I308" s="24">
        <v>16</v>
      </c>
      <c r="J308" s="24">
        <f t="shared" si="16"/>
        <v>26.509999999999998</v>
      </c>
      <c r="K308" s="24" t="s">
        <v>475</v>
      </c>
      <c r="L308" s="25">
        <f t="shared" ref="L308:L309" si="20">+J308</f>
        <v>26.509999999999998</v>
      </c>
    </row>
    <row r="309" spans="1:12">
      <c r="A309" s="27">
        <v>45</v>
      </c>
      <c r="B309" s="45">
        <v>200943367</v>
      </c>
      <c r="C309" s="56" t="s">
        <v>291</v>
      </c>
      <c r="D309" s="24">
        <v>3.52</v>
      </c>
      <c r="E309" s="24">
        <v>3.6</v>
      </c>
      <c r="F309" s="24">
        <v>1.5</v>
      </c>
      <c r="G309" s="24">
        <v>9</v>
      </c>
      <c r="H309" s="24">
        <v>5.04</v>
      </c>
      <c r="I309" s="24">
        <v>16</v>
      </c>
      <c r="J309" s="24">
        <f t="shared" si="16"/>
        <v>38.660000000000004</v>
      </c>
      <c r="K309" s="24" t="s">
        <v>475</v>
      </c>
      <c r="L309" s="25">
        <f t="shared" si="20"/>
        <v>38.660000000000004</v>
      </c>
    </row>
    <row r="310" spans="1:12">
      <c r="A310" s="27">
        <v>46</v>
      </c>
      <c r="B310" s="45">
        <v>200943515</v>
      </c>
      <c r="C310" s="58" t="s">
        <v>292</v>
      </c>
      <c r="D310" s="24">
        <v>6.7</v>
      </c>
      <c r="E310" s="24">
        <v>4</v>
      </c>
      <c r="F310" s="24">
        <v>3.45</v>
      </c>
      <c r="G310" s="24">
        <v>10.8</v>
      </c>
      <c r="H310" s="24">
        <v>5.52</v>
      </c>
      <c r="I310" s="24">
        <v>16</v>
      </c>
      <c r="J310" s="24">
        <f t="shared" si="16"/>
        <v>46.470000000000006</v>
      </c>
      <c r="K310" s="24">
        <v>14.6</v>
      </c>
      <c r="L310" s="25">
        <f t="shared" si="17"/>
        <v>61.070000000000007</v>
      </c>
    </row>
    <row r="311" spans="1:12">
      <c r="A311" s="27">
        <v>47</v>
      </c>
      <c r="B311" s="45">
        <v>200943644</v>
      </c>
      <c r="C311" s="58" t="s">
        <v>293</v>
      </c>
      <c r="D311" s="24">
        <v>1.76</v>
      </c>
      <c r="E311" s="24">
        <v>2.8</v>
      </c>
      <c r="F311" s="24">
        <v>2.7</v>
      </c>
      <c r="G311" s="24">
        <v>6</v>
      </c>
      <c r="H311" s="24">
        <v>0</v>
      </c>
      <c r="I311" s="24">
        <v>16</v>
      </c>
      <c r="J311" s="24">
        <f t="shared" si="16"/>
        <v>29.26</v>
      </c>
      <c r="K311" s="24" t="s">
        <v>475</v>
      </c>
      <c r="L311" s="25">
        <f>+J311</f>
        <v>29.26</v>
      </c>
    </row>
    <row r="312" spans="1:12">
      <c r="A312" s="27">
        <v>48</v>
      </c>
      <c r="B312" s="45">
        <v>200943647</v>
      </c>
      <c r="C312" s="56" t="s">
        <v>294</v>
      </c>
      <c r="D312" s="24">
        <v>2.82</v>
      </c>
      <c r="E312" s="24">
        <v>4.8</v>
      </c>
      <c r="F312" s="24">
        <v>4.8</v>
      </c>
      <c r="G312" s="24">
        <v>0</v>
      </c>
      <c r="H312" s="24">
        <v>0</v>
      </c>
      <c r="I312" s="24">
        <v>16</v>
      </c>
      <c r="J312" s="24">
        <f t="shared" si="16"/>
        <v>28.42</v>
      </c>
      <c r="K312" s="24" t="s">
        <v>475</v>
      </c>
      <c r="L312" s="25">
        <f t="shared" ref="L312:L313" si="21">+J312</f>
        <v>28.42</v>
      </c>
    </row>
    <row r="313" spans="1:12">
      <c r="A313" s="27">
        <v>49</v>
      </c>
      <c r="B313" s="45">
        <v>200943674</v>
      </c>
      <c r="C313" s="59" t="s">
        <v>295</v>
      </c>
      <c r="D313" s="24">
        <v>2.82</v>
      </c>
      <c r="E313" s="24">
        <v>2.4</v>
      </c>
      <c r="F313" s="24">
        <v>0.3</v>
      </c>
      <c r="G313" s="24">
        <v>0</v>
      </c>
      <c r="H313" s="24">
        <v>0</v>
      </c>
      <c r="I313" s="24">
        <v>16</v>
      </c>
      <c r="J313" s="24">
        <f t="shared" si="16"/>
        <v>21.52</v>
      </c>
      <c r="K313" s="24" t="s">
        <v>475</v>
      </c>
      <c r="L313" s="25">
        <f t="shared" si="21"/>
        <v>21.52</v>
      </c>
    </row>
    <row r="314" spans="1:12">
      <c r="A314" s="27">
        <v>50</v>
      </c>
      <c r="B314" s="57">
        <v>200944408</v>
      </c>
      <c r="C314" s="60" t="s">
        <v>296</v>
      </c>
      <c r="D314" s="24">
        <v>6.35</v>
      </c>
      <c r="E314" s="24">
        <v>5</v>
      </c>
      <c r="F314" s="24">
        <v>5.4</v>
      </c>
      <c r="G314" s="24">
        <v>10.199999999999999</v>
      </c>
      <c r="H314" s="24">
        <v>3.84</v>
      </c>
      <c r="I314" s="24">
        <v>16</v>
      </c>
      <c r="J314" s="24">
        <f t="shared" si="16"/>
        <v>46.79</v>
      </c>
      <c r="K314" s="24">
        <v>8.8000000000000007</v>
      </c>
      <c r="L314" s="25">
        <f t="shared" si="17"/>
        <v>55.59</v>
      </c>
    </row>
    <row r="315" spans="1:12">
      <c r="A315" s="27">
        <v>51</v>
      </c>
      <c r="B315" s="57">
        <v>200945537</v>
      </c>
      <c r="C315" s="60" t="s">
        <v>297</v>
      </c>
      <c r="D315" s="24">
        <v>1.76</v>
      </c>
      <c r="E315" s="24">
        <v>2</v>
      </c>
      <c r="F315" s="24">
        <v>0</v>
      </c>
      <c r="G315" s="24">
        <v>0</v>
      </c>
      <c r="H315" s="24">
        <v>0</v>
      </c>
      <c r="I315" s="24">
        <v>16</v>
      </c>
      <c r="J315" s="24">
        <f t="shared" si="16"/>
        <v>19.760000000000002</v>
      </c>
      <c r="K315" s="24" t="s">
        <v>475</v>
      </c>
      <c r="L315" s="25">
        <f>+J315</f>
        <v>19.760000000000002</v>
      </c>
    </row>
    <row r="316" spans="1:12">
      <c r="A316" s="27">
        <v>52</v>
      </c>
      <c r="B316" s="57">
        <v>200946029</v>
      </c>
      <c r="C316" s="60" t="s">
        <v>298</v>
      </c>
      <c r="D316" s="24">
        <v>5.1100000000000003</v>
      </c>
      <c r="E316" s="24">
        <v>5.2</v>
      </c>
      <c r="F316" s="24">
        <v>3.45</v>
      </c>
      <c r="G316" s="24">
        <v>7.8</v>
      </c>
      <c r="H316" s="24">
        <v>5.43</v>
      </c>
      <c r="I316" s="24">
        <v>16</v>
      </c>
      <c r="J316" s="24">
        <f t="shared" si="16"/>
        <v>42.99</v>
      </c>
      <c r="K316" s="24">
        <v>12.8</v>
      </c>
      <c r="L316" s="25">
        <f>+K316+J316</f>
        <v>55.790000000000006</v>
      </c>
    </row>
    <row r="317" spans="1:12">
      <c r="A317" s="27">
        <v>53</v>
      </c>
      <c r="B317" s="45">
        <v>200946037</v>
      </c>
      <c r="C317" s="60" t="s">
        <v>299</v>
      </c>
      <c r="D317" s="24">
        <v>1.41</v>
      </c>
      <c r="E317" s="24">
        <v>4</v>
      </c>
      <c r="F317" s="24" t="s">
        <v>432</v>
      </c>
      <c r="G317" s="24">
        <v>6</v>
      </c>
      <c r="H317" s="24">
        <v>0</v>
      </c>
      <c r="I317" s="24">
        <v>16</v>
      </c>
      <c r="J317" s="24">
        <f>+I317+H317+G317+E317+D317</f>
        <v>27.41</v>
      </c>
      <c r="K317" s="24" t="s">
        <v>475</v>
      </c>
      <c r="L317" s="25">
        <f t="shared" ref="L317" si="22">+J317</f>
        <v>27.41</v>
      </c>
    </row>
    <row r="318" spans="1:12">
      <c r="A318" s="29"/>
      <c r="B318" s="29"/>
      <c r="C318" s="30"/>
      <c r="D318" s="31"/>
      <c r="E318" s="31"/>
      <c r="F318" s="31"/>
      <c r="G318" s="31"/>
      <c r="H318" s="31"/>
      <c r="I318" s="31"/>
      <c r="J318" s="31"/>
      <c r="K318" s="31"/>
      <c r="L318" s="32"/>
    </row>
    <row r="319" spans="1:12">
      <c r="A319" s="29"/>
      <c r="B319" s="29"/>
      <c r="C319" s="30"/>
      <c r="D319" s="31"/>
      <c r="E319" s="31"/>
      <c r="F319" s="31"/>
      <c r="G319" s="31"/>
      <c r="H319" s="31"/>
      <c r="I319" s="31"/>
      <c r="J319" s="31"/>
      <c r="K319" s="31"/>
      <c r="L319" s="32"/>
    </row>
    <row r="320" spans="1:12" ht="17.25" thickBot="1">
      <c r="A320" s="33"/>
      <c r="B320" s="33"/>
      <c r="C320" s="34"/>
      <c r="D320" s="31"/>
      <c r="E320" s="31"/>
      <c r="F320" s="31"/>
      <c r="G320" s="31"/>
      <c r="H320" s="35"/>
      <c r="I320" s="35"/>
      <c r="J320" s="35"/>
      <c r="K320" s="9"/>
      <c r="L320" s="32"/>
    </row>
    <row r="321" spans="4:12">
      <c r="H321" s="100" t="s">
        <v>464</v>
      </c>
      <c r="I321" s="100"/>
      <c r="J321" s="100"/>
      <c r="L321" s="1"/>
    </row>
    <row r="322" spans="4:12">
      <c r="D322" s="36"/>
      <c r="H322" s="100" t="s">
        <v>430</v>
      </c>
      <c r="I322" s="100"/>
      <c r="J322" s="100"/>
      <c r="L322" s="1"/>
    </row>
    <row r="323" spans="4:12">
      <c r="D323" s="36"/>
      <c r="H323" s="100" t="s">
        <v>465</v>
      </c>
      <c r="I323" s="100"/>
      <c r="J323" s="100"/>
      <c r="L323" s="1"/>
    </row>
    <row r="338" spans="1:12" ht="17.25" thickBot="1">
      <c r="A338" s="1" t="s">
        <v>0</v>
      </c>
      <c r="I338" s="3"/>
    </row>
    <row r="339" spans="1:12">
      <c r="A339" s="1" t="s">
        <v>1</v>
      </c>
      <c r="F339" s="4"/>
      <c r="G339" s="5"/>
      <c r="H339" s="6"/>
      <c r="I339" s="7"/>
    </row>
    <row r="340" spans="1:12">
      <c r="A340" s="8" t="s">
        <v>2</v>
      </c>
      <c r="B340" s="9"/>
      <c r="E340" s="7"/>
      <c r="F340" s="10"/>
      <c r="G340" s="11"/>
      <c r="H340" s="12"/>
      <c r="I340" s="7"/>
    </row>
    <row r="341" spans="1:12" ht="17.25" thickBot="1">
      <c r="A341" s="13" t="s">
        <v>3</v>
      </c>
      <c r="B341" s="9"/>
      <c r="E341" s="7"/>
      <c r="F341" s="10"/>
      <c r="G341" s="11"/>
      <c r="H341" s="12"/>
      <c r="I341" s="7"/>
    </row>
    <row r="342" spans="1:12" ht="17.25" thickBot="1">
      <c r="A342" s="14" t="s">
        <v>22</v>
      </c>
      <c r="B342" s="15"/>
      <c r="C342" s="16"/>
      <c r="E342" s="7"/>
      <c r="F342" s="17"/>
      <c r="G342" s="18"/>
      <c r="H342" s="19"/>
      <c r="I342" s="7"/>
    </row>
    <row r="343" spans="1:12">
      <c r="A343" s="8"/>
      <c r="B343" s="9"/>
      <c r="E343" s="7"/>
      <c r="I343" s="3"/>
    </row>
    <row r="344" spans="1:12">
      <c r="A344" s="1" t="s">
        <v>91</v>
      </c>
      <c r="B344" s="9"/>
      <c r="C344" s="20" t="s">
        <v>365</v>
      </c>
      <c r="E344" s="7"/>
      <c r="I344" s="3"/>
    </row>
    <row r="345" spans="1:12">
      <c r="A345" s="1" t="s">
        <v>4</v>
      </c>
      <c r="C345" s="20" t="s">
        <v>462</v>
      </c>
      <c r="I345" s="3"/>
    </row>
    <row r="346" spans="1:12">
      <c r="A346" s="1" t="s">
        <v>5</v>
      </c>
      <c r="C346" s="20" t="s">
        <v>466</v>
      </c>
    </row>
    <row r="347" spans="1:12">
      <c r="A347" s="21"/>
      <c r="B347" s="21"/>
      <c r="C347" s="21"/>
      <c r="D347" s="21"/>
      <c r="E347" s="21"/>
      <c r="F347" s="21"/>
      <c r="G347" s="21"/>
      <c r="H347" s="21"/>
      <c r="I347" s="21"/>
      <c r="J347" s="21"/>
    </row>
    <row r="348" spans="1:12">
      <c r="A348" s="1"/>
      <c r="C348" s="22" t="s">
        <v>6</v>
      </c>
      <c r="D348" s="22" t="s">
        <v>435</v>
      </c>
      <c r="E348" s="22" t="s">
        <v>435</v>
      </c>
      <c r="F348" s="22" t="s">
        <v>435</v>
      </c>
      <c r="G348" s="22" t="s">
        <v>435</v>
      </c>
      <c r="H348" s="22" t="s">
        <v>435</v>
      </c>
      <c r="I348" s="22" t="s">
        <v>7</v>
      </c>
      <c r="J348" s="22" t="s">
        <v>8</v>
      </c>
      <c r="K348" s="22" t="s">
        <v>7</v>
      </c>
      <c r="L348" s="22" t="s">
        <v>9</v>
      </c>
    </row>
    <row r="349" spans="1:12">
      <c r="A349" s="22" t="s">
        <v>10</v>
      </c>
      <c r="B349" s="22" t="s">
        <v>11</v>
      </c>
      <c r="C349" s="22" t="s">
        <v>12</v>
      </c>
      <c r="D349" s="22" t="s">
        <v>13</v>
      </c>
      <c r="E349" s="22" t="s">
        <v>14</v>
      </c>
      <c r="F349" s="22" t="s">
        <v>15</v>
      </c>
      <c r="G349" s="22" t="s">
        <v>16</v>
      </c>
      <c r="H349" s="22" t="s">
        <v>17</v>
      </c>
      <c r="I349" s="22" t="s">
        <v>95</v>
      </c>
      <c r="J349" s="22" t="s">
        <v>18</v>
      </c>
      <c r="K349" s="22" t="s">
        <v>19</v>
      </c>
      <c r="L349" s="22" t="s">
        <v>20</v>
      </c>
    </row>
    <row r="350" spans="1:12">
      <c r="A350" s="23">
        <v>1</v>
      </c>
      <c r="B350" s="45">
        <v>200840057</v>
      </c>
      <c r="C350" s="56" t="s">
        <v>371</v>
      </c>
      <c r="D350" s="24">
        <v>4.9400000000000004</v>
      </c>
      <c r="E350" s="24">
        <v>4.8</v>
      </c>
      <c r="F350" s="24">
        <v>3.6</v>
      </c>
      <c r="G350" s="24">
        <v>0</v>
      </c>
      <c r="H350" s="24">
        <v>0</v>
      </c>
      <c r="I350" s="24">
        <v>0</v>
      </c>
      <c r="J350" s="24">
        <f>+I350+H350+G350+F350+E350+D350</f>
        <v>13.34</v>
      </c>
      <c r="K350" s="24" t="s">
        <v>475</v>
      </c>
      <c r="L350" s="25">
        <f>+J350</f>
        <v>13.34</v>
      </c>
    </row>
    <row r="351" spans="1:12">
      <c r="A351" s="26">
        <v>2</v>
      </c>
      <c r="B351" s="45">
        <v>200840063</v>
      </c>
      <c r="C351" s="56" t="s">
        <v>372</v>
      </c>
      <c r="D351" s="24">
        <v>4.41</v>
      </c>
      <c r="E351" s="24">
        <v>3.84</v>
      </c>
      <c r="F351" s="24">
        <v>5.4</v>
      </c>
      <c r="G351" s="24">
        <v>7.2</v>
      </c>
      <c r="H351" s="24">
        <v>6.24</v>
      </c>
      <c r="I351" s="24">
        <v>14.5</v>
      </c>
      <c r="J351" s="24">
        <f t="shared" ref="J351:J392" si="23">+I351+H351+G351+F351+E351+D351</f>
        <v>41.59</v>
      </c>
      <c r="K351" s="24">
        <v>5.6</v>
      </c>
      <c r="L351" s="25">
        <f t="shared" ref="L351:L392" si="24">+K351+J351</f>
        <v>47.190000000000005</v>
      </c>
    </row>
    <row r="352" spans="1:12">
      <c r="A352" s="27">
        <v>3</v>
      </c>
      <c r="B352" s="45">
        <v>200840082</v>
      </c>
      <c r="C352" s="56" t="s">
        <v>373</v>
      </c>
      <c r="D352" s="24">
        <v>3.7</v>
      </c>
      <c r="E352" s="24">
        <v>4.8</v>
      </c>
      <c r="F352" s="24">
        <v>2.1</v>
      </c>
      <c r="G352" s="24">
        <v>5.4</v>
      </c>
      <c r="H352" s="24">
        <v>8.64</v>
      </c>
      <c r="I352" s="24">
        <v>14</v>
      </c>
      <c r="J352" s="24">
        <f t="shared" si="23"/>
        <v>38.64</v>
      </c>
      <c r="K352" s="24" t="s">
        <v>475</v>
      </c>
      <c r="L352" s="25">
        <f>+J352</f>
        <v>38.64</v>
      </c>
    </row>
    <row r="353" spans="1:12">
      <c r="A353" s="26">
        <v>4</v>
      </c>
      <c r="B353" s="45">
        <v>200842080</v>
      </c>
      <c r="C353" s="56" t="s">
        <v>383</v>
      </c>
      <c r="D353" s="24">
        <v>7.41</v>
      </c>
      <c r="E353" s="24">
        <v>4.32</v>
      </c>
      <c r="F353" s="24">
        <v>9</v>
      </c>
      <c r="G353" s="24">
        <v>10.199999999999999</v>
      </c>
      <c r="H353" s="24">
        <v>10.56</v>
      </c>
      <c r="I353" s="24">
        <v>13</v>
      </c>
      <c r="J353" s="24">
        <f t="shared" si="23"/>
        <v>54.490000000000009</v>
      </c>
      <c r="K353" s="24">
        <v>16</v>
      </c>
      <c r="L353" s="25">
        <f t="shared" si="24"/>
        <v>70.490000000000009</v>
      </c>
    </row>
    <row r="354" spans="1:12">
      <c r="A354" s="26">
        <v>5</v>
      </c>
      <c r="B354" s="45">
        <v>200842122</v>
      </c>
      <c r="C354" s="60" t="s">
        <v>384</v>
      </c>
      <c r="D354" s="24">
        <v>2.65</v>
      </c>
      <c r="E354" s="24">
        <v>2.4</v>
      </c>
      <c r="F354" s="24">
        <v>1.5</v>
      </c>
      <c r="G354" s="24">
        <v>6.6</v>
      </c>
      <c r="H354" s="24">
        <v>5.76</v>
      </c>
      <c r="I354" s="24">
        <v>13.5</v>
      </c>
      <c r="J354" s="24">
        <f t="shared" si="23"/>
        <v>32.409999999999997</v>
      </c>
      <c r="K354" s="24" t="s">
        <v>475</v>
      </c>
      <c r="L354" s="25">
        <f>+J354</f>
        <v>32.409999999999997</v>
      </c>
    </row>
    <row r="355" spans="1:12">
      <c r="A355" s="26">
        <v>6</v>
      </c>
      <c r="B355" s="45">
        <v>200842241</v>
      </c>
      <c r="C355" s="56" t="s">
        <v>385</v>
      </c>
      <c r="D355" s="24">
        <v>4.0599999999999996</v>
      </c>
      <c r="E355" s="24">
        <v>4.8</v>
      </c>
      <c r="F355" s="24">
        <v>4.2</v>
      </c>
      <c r="G355" s="24">
        <v>10.8</v>
      </c>
      <c r="H355" s="24">
        <v>7.2</v>
      </c>
      <c r="I355" s="24">
        <v>13.5</v>
      </c>
      <c r="J355" s="24">
        <f t="shared" si="23"/>
        <v>44.56</v>
      </c>
      <c r="K355" s="24">
        <v>10.4</v>
      </c>
      <c r="L355" s="25">
        <f t="shared" si="24"/>
        <v>54.96</v>
      </c>
    </row>
    <row r="356" spans="1:12">
      <c r="A356" s="26">
        <v>7</v>
      </c>
      <c r="B356" s="45">
        <v>200842422</v>
      </c>
      <c r="C356" s="56" t="s">
        <v>386</v>
      </c>
      <c r="D356" s="24">
        <v>4.76</v>
      </c>
      <c r="E356" s="24">
        <v>5.25</v>
      </c>
      <c r="F356" s="24">
        <v>5.25</v>
      </c>
      <c r="G356" s="24">
        <v>5.4</v>
      </c>
      <c r="H356" s="24">
        <v>7.68</v>
      </c>
      <c r="I356" s="24">
        <v>13.5</v>
      </c>
      <c r="J356" s="24">
        <f t="shared" si="23"/>
        <v>41.839999999999996</v>
      </c>
      <c r="K356" s="24">
        <v>6.4</v>
      </c>
      <c r="L356" s="25">
        <f t="shared" si="24"/>
        <v>48.239999999999995</v>
      </c>
    </row>
    <row r="357" spans="1:12">
      <c r="A357" s="26">
        <v>8</v>
      </c>
      <c r="B357" s="45">
        <v>200842701</v>
      </c>
      <c r="C357" s="56" t="s">
        <v>388</v>
      </c>
      <c r="D357" s="24">
        <v>7.76</v>
      </c>
      <c r="E357" s="24">
        <v>6.25</v>
      </c>
      <c r="F357" s="24">
        <v>5.85</v>
      </c>
      <c r="G357" s="24">
        <v>8.4</v>
      </c>
      <c r="H357" s="24">
        <v>0</v>
      </c>
      <c r="I357" s="24">
        <v>0</v>
      </c>
      <c r="J357" s="24">
        <f t="shared" si="23"/>
        <v>28.259999999999998</v>
      </c>
      <c r="K357" s="24" t="s">
        <v>475</v>
      </c>
      <c r="L357" s="25">
        <f>+J357</f>
        <v>28.259999999999998</v>
      </c>
    </row>
    <row r="358" spans="1:12">
      <c r="A358" s="26">
        <v>9</v>
      </c>
      <c r="B358" s="45">
        <v>200843354</v>
      </c>
      <c r="C358" s="59" t="s">
        <v>389</v>
      </c>
      <c r="D358" s="24">
        <v>5.29</v>
      </c>
      <c r="E358" s="24">
        <v>7.2</v>
      </c>
      <c r="F358" s="24">
        <v>3.75</v>
      </c>
      <c r="G358" s="24">
        <v>6.6</v>
      </c>
      <c r="H358" s="24">
        <v>7.92</v>
      </c>
      <c r="I358" s="24">
        <v>15</v>
      </c>
      <c r="J358" s="24">
        <f t="shared" si="23"/>
        <v>45.760000000000005</v>
      </c>
      <c r="K358" s="24">
        <v>16.399999999999999</v>
      </c>
      <c r="L358" s="25">
        <f t="shared" si="24"/>
        <v>62.160000000000004</v>
      </c>
    </row>
    <row r="359" spans="1:12">
      <c r="A359" s="26">
        <v>10</v>
      </c>
      <c r="B359" s="45">
        <v>200843490</v>
      </c>
      <c r="C359" s="56" t="s">
        <v>390</v>
      </c>
      <c r="D359" s="24">
        <v>5.82</v>
      </c>
      <c r="E359" s="24">
        <v>6.75</v>
      </c>
      <c r="F359" s="24">
        <v>3.3</v>
      </c>
      <c r="G359" s="24">
        <v>7.2</v>
      </c>
      <c r="H359" s="24">
        <v>0</v>
      </c>
      <c r="I359" s="24">
        <v>0</v>
      </c>
      <c r="J359" s="24">
        <f t="shared" si="23"/>
        <v>23.07</v>
      </c>
      <c r="K359" s="24" t="s">
        <v>475</v>
      </c>
      <c r="L359" s="25">
        <f>+J359</f>
        <v>23.07</v>
      </c>
    </row>
    <row r="360" spans="1:12">
      <c r="A360" s="26">
        <v>11</v>
      </c>
      <c r="B360" s="45">
        <v>200880018</v>
      </c>
      <c r="C360" s="60" t="s">
        <v>391</v>
      </c>
      <c r="D360" s="24">
        <v>7.76</v>
      </c>
      <c r="E360" s="24">
        <v>8.64</v>
      </c>
      <c r="F360" s="24">
        <v>6.95</v>
      </c>
      <c r="G360" s="24">
        <v>10.199999999999999</v>
      </c>
      <c r="H360" s="28">
        <v>7.68</v>
      </c>
      <c r="I360" s="28">
        <v>13.5</v>
      </c>
      <c r="J360" s="24">
        <f t="shared" si="23"/>
        <v>54.73</v>
      </c>
      <c r="K360" s="24">
        <v>14.8</v>
      </c>
      <c r="L360" s="25">
        <f t="shared" si="24"/>
        <v>69.53</v>
      </c>
    </row>
    <row r="361" spans="1:12">
      <c r="A361" s="26">
        <v>12</v>
      </c>
      <c r="B361" s="45">
        <v>200940459</v>
      </c>
      <c r="C361" s="56" t="s">
        <v>394</v>
      </c>
      <c r="D361" s="24">
        <v>6.7</v>
      </c>
      <c r="E361" s="24">
        <v>6.24</v>
      </c>
      <c r="F361" s="24">
        <v>6.3</v>
      </c>
      <c r="G361" s="24">
        <v>8.4</v>
      </c>
      <c r="H361" s="28">
        <v>11.28</v>
      </c>
      <c r="I361" s="28">
        <v>13.5</v>
      </c>
      <c r="J361" s="24">
        <f t="shared" si="23"/>
        <v>52.42</v>
      </c>
      <c r="K361" s="24">
        <v>14.4</v>
      </c>
      <c r="L361" s="25">
        <f t="shared" si="24"/>
        <v>66.820000000000007</v>
      </c>
    </row>
    <row r="362" spans="1:12">
      <c r="A362" s="26">
        <v>13</v>
      </c>
      <c r="B362" s="57">
        <v>200940500</v>
      </c>
      <c r="C362" s="56" t="s">
        <v>395</v>
      </c>
      <c r="D362" s="24">
        <v>6.7</v>
      </c>
      <c r="E362" s="24">
        <v>8.64</v>
      </c>
      <c r="F362" s="24">
        <v>7.2</v>
      </c>
      <c r="G362" s="24">
        <v>10.199999999999999</v>
      </c>
      <c r="H362" s="28">
        <v>10.56</v>
      </c>
      <c r="I362" s="28">
        <v>13</v>
      </c>
      <c r="J362" s="24">
        <f t="shared" si="23"/>
        <v>56.300000000000011</v>
      </c>
      <c r="K362" s="24">
        <v>14.4</v>
      </c>
      <c r="L362" s="25">
        <f t="shared" si="24"/>
        <v>70.700000000000017</v>
      </c>
    </row>
    <row r="363" spans="1:12">
      <c r="A363" s="23">
        <v>14</v>
      </c>
      <c r="B363" s="45">
        <v>200940520</v>
      </c>
      <c r="C363" s="56" t="s">
        <v>396</v>
      </c>
      <c r="D363" s="24">
        <v>6.53</v>
      </c>
      <c r="E363" s="24">
        <v>4.32</v>
      </c>
      <c r="F363" s="24">
        <v>6.75</v>
      </c>
      <c r="G363" s="24">
        <v>11.4</v>
      </c>
      <c r="H363" s="28">
        <v>8.4</v>
      </c>
      <c r="I363" s="28">
        <v>13</v>
      </c>
      <c r="J363" s="24">
        <f t="shared" si="23"/>
        <v>50.4</v>
      </c>
      <c r="K363" s="24">
        <v>13.2</v>
      </c>
      <c r="L363" s="25">
        <f t="shared" si="24"/>
        <v>63.599999999999994</v>
      </c>
    </row>
    <row r="364" spans="1:12">
      <c r="A364" s="23">
        <v>15</v>
      </c>
      <c r="B364" s="45">
        <v>200940528</v>
      </c>
      <c r="C364" s="56" t="s">
        <v>397</v>
      </c>
      <c r="D364" s="24">
        <v>3.7</v>
      </c>
      <c r="E364" s="24">
        <v>0</v>
      </c>
      <c r="F364" s="24">
        <v>0</v>
      </c>
      <c r="G364" s="24">
        <v>0</v>
      </c>
      <c r="H364" s="24">
        <v>0</v>
      </c>
      <c r="I364" s="24">
        <v>0</v>
      </c>
      <c r="J364" s="24">
        <f t="shared" si="23"/>
        <v>3.7</v>
      </c>
      <c r="K364" s="24" t="s">
        <v>475</v>
      </c>
      <c r="L364" s="25">
        <f>+J364</f>
        <v>3.7</v>
      </c>
    </row>
    <row r="365" spans="1:12">
      <c r="A365" s="23">
        <v>16</v>
      </c>
      <c r="B365" s="45">
        <v>200940536</v>
      </c>
      <c r="C365" s="56" t="s">
        <v>398</v>
      </c>
      <c r="D365" s="24">
        <v>7.23</v>
      </c>
      <c r="E365" s="24">
        <v>4.8</v>
      </c>
      <c r="F365" s="24">
        <v>7.65</v>
      </c>
      <c r="G365" s="24">
        <v>7.8</v>
      </c>
      <c r="H365" s="24">
        <v>9.6</v>
      </c>
      <c r="I365" s="24">
        <v>16</v>
      </c>
      <c r="J365" s="24">
        <f t="shared" si="23"/>
        <v>53.08</v>
      </c>
      <c r="K365" s="24">
        <v>15.2</v>
      </c>
      <c r="L365" s="25">
        <f t="shared" si="24"/>
        <v>68.28</v>
      </c>
    </row>
    <row r="366" spans="1:12">
      <c r="A366" s="23">
        <v>17</v>
      </c>
      <c r="B366" s="45">
        <v>200940876</v>
      </c>
      <c r="C366" s="56" t="s">
        <v>399</v>
      </c>
      <c r="D366" s="24">
        <v>3</v>
      </c>
      <c r="E366" s="24">
        <v>3.36</v>
      </c>
      <c r="F366" s="24">
        <v>3.9</v>
      </c>
      <c r="G366" s="24">
        <v>7.2</v>
      </c>
      <c r="H366" s="24">
        <v>7.2</v>
      </c>
      <c r="I366" s="24">
        <v>15</v>
      </c>
      <c r="J366" s="24">
        <f t="shared" si="23"/>
        <v>39.659999999999997</v>
      </c>
      <c r="K366" s="24" t="s">
        <v>475</v>
      </c>
      <c r="L366" s="25">
        <f>+J366</f>
        <v>39.659999999999997</v>
      </c>
    </row>
    <row r="367" spans="1:12">
      <c r="A367" s="27">
        <v>18</v>
      </c>
      <c r="B367" s="45">
        <v>200940879</v>
      </c>
      <c r="C367" s="59" t="s">
        <v>400</v>
      </c>
      <c r="D367" s="24">
        <v>4.41</v>
      </c>
      <c r="E367" s="24">
        <v>4.8</v>
      </c>
      <c r="F367" s="24">
        <v>2.1</v>
      </c>
      <c r="G367" s="24">
        <v>7.2</v>
      </c>
      <c r="H367" s="24">
        <v>0</v>
      </c>
      <c r="I367" s="24">
        <v>0</v>
      </c>
      <c r="J367" s="24">
        <f t="shared" si="23"/>
        <v>18.510000000000002</v>
      </c>
      <c r="K367" s="24" t="s">
        <v>475</v>
      </c>
      <c r="L367" s="25">
        <f t="shared" ref="L367:L370" si="25">+J367</f>
        <v>18.510000000000002</v>
      </c>
    </row>
    <row r="368" spans="1:12">
      <c r="A368" s="27">
        <v>19</v>
      </c>
      <c r="B368" s="57">
        <v>200941420</v>
      </c>
      <c r="C368" s="60" t="s">
        <v>401</v>
      </c>
      <c r="D368" s="24">
        <v>2.82</v>
      </c>
      <c r="E368" s="24">
        <v>1.92</v>
      </c>
      <c r="F368" s="24">
        <v>3.6</v>
      </c>
      <c r="G368" s="24">
        <v>3</v>
      </c>
      <c r="H368" s="24">
        <v>0</v>
      </c>
      <c r="I368" s="24">
        <v>0</v>
      </c>
      <c r="J368" s="24">
        <f t="shared" si="23"/>
        <v>11.34</v>
      </c>
      <c r="K368" s="24" t="s">
        <v>475</v>
      </c>
      <c r="L368" s="25">
        <f t="shared" si="25"/>
        <v>11.34</v>
      </c>
    </row>
    <row r="369" spans="1:12">
      <c r="A369" s="27">
        <v>20</v>
      </c>
      <c r="B369" s="57">
        <v>200942150</v>
      </c>
      <c r="C369" s="60" t="s">
        <v>402</v>
      </c>
      <c r="D369" s="24">
        <v>5.47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24">
        <f t="shared" si="23"/>
        <v>5.47</v>
      </c>
      <c r="K369" s="24" t="s">
        <v>475</v>
      </c>
      <c r="L369" s="25">
        <f t="shared" si="25"/>
        <v>5.47</v>
      </c>
    </row>
    <row r="370" spans="1:12">
      <c r="A370" s="27">
        <v>21</v>
      </c>
      <c r="B370" s="45">
        <v>200942163</v>
      </c>
      <c r="C370" s="56" t="s">
        <v>403</v>
      </c>
      <c r="D370" s="24">
        <v>7.59</v>
      </c>
      <c r="E370" s="24">
        <v>8.64</v>
      </c>
      <c r="F370" s="24">
        <v>6</v>
      </c>
      <c r="G370" s="24">
        <v>0</v>
      </c>
      <c r="H370" s="24">
        <v>0</v>
      </c>
      <c r="I370" s="24">
        <v>0</v>
      </c>
      <c r="J370" s="24">
        <f t="shared" si="23"/>
        <v>22.23</v>
      </c>
      <c r="K370" s="24" t="s">
        <v>475</v>
      </c>
      <c r="L370" s="25">
        <f t="shared" si="25"/>
        <v>22.23</v>
      </c>
    </row>
    <row r="371" spans="1:12">
      <c r="A371" s="27">
        <v>22</v>
      </c>
      <c r="B371" s="45">
        <v>200942665</v>
      </c>
      <c r="C371" s="59" t="s">
        <v>404</v>
      </c>
      <c r="D371" s="24">
        <v>6.17</v>
      </c>
      <c r="E371" s="24">
        <v>6.25</v>
      </c>
      <c r="F371" s="24">
        <v>6.45</v>
      </c>
      <c r="G371" s="24">
        <v>11.4</v>
      </c>
      <c r="H371" s="24">
        <v>6.96</v>
      </c>
      <c r="I371" s="24">
        <v>13.5</v>
      </c>
      <c r="J371" s="24">
        <f t="shared" si="23"/>
        <v>50.730000000000004</v>
      </c>
      <c r="K371" s="24">
        <v>12</v>
      </c>
      <c r="L371" s="25">
        <f t="shared" si="24"/>
        <v>62.730000000000004</v>
      </c>
    </row>
    <row r="372" spans="1:12">
      <c r="A372" s="27">
        <v>23</v>
      </c>
      <c r="B372" s="45">
        <v>200942674</v>
      </c>
      <c r="C372" s="56" t="s">
        <v>405</v>
      </c>
      <c r="D372" s="24">
        <v>3.88</v>
      </c>
      <c r="E372" s="24">
        <v>0</v>
      </c>
      <c r="F372" s="24">
        <v>0</v>
      </c>
      <c r="G372" s="24">
        <v>0</v>
      </c>
      <c r="H372" s="24">
        <v>0</v>
      </c>
      <c r="I372" s="24">
        <v>0</v>
      </c>
      <c r="J372" s="24">
        <f t="shared" si="23"/>
        <v>3.88</v>
      </c>
      <c r="K372" s="24" t="s">
        <v>475</v>
      </c>
      <c r="L372" s="25">
        <f>+J372</f>
        <v>3.88</v>
      </c>
    </row>
    <row r="373" spans="1:12">
      <c r="A373" s="27">
        <v>24</v>
      </c>
      <c r="B373" s="45">
        <v>200942710</v>
      </c>
      <c r="C373" s="59" t="s">
        <v>406</v>
      </c>
      <c r="D373" s="24">
        <v>4.2300000000000004</v>
      </c>
      <c r="E373" s="24">
        <v>6.75</v>
      </c>
      <c r="F373" s="24">
        <v>8.1</v>
      </c>
      <c r="G373" s="24">
        <v>10.8</v>
      </c>
      <c r="H373" s="24">
        <v>8.64</v>
      </c>
      <c r="I373" s="24">
        <v>14</v>
      </c>
      <c r="J373" s="24">
        <f t="shared" si="23"/>
        <v>52.519999999999996</v>
      </c>
      <c r="K373" s="24" t="s">
        <v>476</v>
      </c>
      <c r="L373" s="25">
        <v>52.52</v>
      </c>
    </row>
    <row r="374" spans="1:12">
      <c r="A374" s="27">
        <v>25</v>
      </c>
      <c r="B374" s="45">
        <v>200942784</v>
      </c>
      <c r="C374" s="58" t="s">
        <v>407</v>
      </c>
      <c r="D374" s="24">
        <v>5.47</v>
      </c>
      <c r="E374" s="24">
        <v>8.64</v>
      </c>
      <c r="F374" s="24">
        <v>9.9</v>
      </c>
      <c r="G374" s="24">
        <v>11.4</v>
      </c>
      <c r="H374" s="24">
        <v>11.04</v>
      </c>
      <c r="I374" s="24">
        <v>13.5</v>
      </c>
      <c r="J374" s="24">
        <f t="shared" si="23"/>
        <v>59.949999999999996</v>
      </c>
      <c r="K374" s="24">
        <v>14.4</v>
      </c>
      <c r="L374" s="25">
        <f t="shared" si="24"/>
        <v>74.349999999999994</v>
      </c>
    </row>
    <row r="375" spans="1:12">
      <c r="A375" s="27">
        <v>26</v>
      </c>
      <c r="B375" s="45">
        <v>200942848</v>
      </c>
      <c r="C375" s="56" t="s">
        <v>408</v>
      </c>
      <c r="D375" s="24">
        <v>3.18</v>
      </c>
      <c r="E375" s="24">
        <v>0</v>
      </c>
      <c r="F375" s="24">
        <v>0</v>
      </c>
      <c r="G375" s="24">
        <v>0</v>
      </c>
      <c r="H375" s="24">
        <v>0</v>
      </c>
      <c r="I375" s="24">
        <v>0</v>
      </c>
      <c r="J375" s="24">
        <f t="shared" si="23"/>
        <v>3.18</v>
      </c>
      <c r="K375" s="24" t="s">
        <v>475</v>
      </c>
      <c r="L375" s="25">
        <f>+J375</f>
        <v>3.18</v>
      </c>
    </row>
    <row r="376" spans="1:12">
      <c r="A376" s="27">
        <v>27</v>
      </c>
      <c r="B376" s="45">
        <v>200942862</v>
      </c>
      <c r="C376" s="56" t="s">
        <v>409</v>
      </c>
      <c r="D376" s="24">
        <v>2.82</v>
      </c>
      <c r="E376" s="24">
        <v>1.44</v>
      </c>
      <c r="F376" s="24">
        <v>3.75</v>
      </c>
      <c r="G376" s="24">
        <v>8.4</v>
      </c>
      <c r="H376" s="24">
        <v>6.72</v>
      </c>
      <c r="I376" s="24">
        <v>13.5</v>
      </c>
      <c r="J376" s="24">
        <f t="shared" si="23"/>
        <v>36.629999999999995</v>
      </c>
      <c r="K376" s="24" t="s">
        <v>475</v>
      </c>
      <c r="L376" s="25">
        <f t="shared" ref="L376:L382" si="26">+J376</f>
        <v>36.629999999999995</v>
      </c>
    </row>
    <row r="377" spans="1:12">
      <c r="A377" s="27">
        <v>28</v>
      </c>
      <c r="B377" s="57">
        <v>200942871</v>
      </c>
      <c r="C377" s="60" t="s">
        <v>410</v>
      </c>
      <c r="D377" s="24">
        <v>5.29</v>
      </c>
      <c r="E377" s="24">
        <v>6.75</v>
      </c>
      <c r="F377" s="24">
        <v>5.7</v>
      </c>
      <c r="G377" s="24">
        <v>8.4</v>
      </c>
      <c r="H377" s="24">
        <v>0</v>
      </c>
      <c r="I377" s="24">
        <v>0</v>
      </c>
      <c r="J377" s="24">
        <f t="shared" si="23"/>
        <v>26.14</v>
      </c>
      <c r="K377" s="24" t="s">
        <v>475</v>
      </c>
      <c r="L377" s="25">
        <f t="shared" si="26"/>
        <v>26.14</v>
      </c>
    </row>
    <row r="378" spans="1:12">
      <c r="A378" s="27">
        <v>29</v>
      </c>
      <c r="B378" s="57">
        <v>200942929</v>
      </c>
      <c r="C378" s="60" t="s">
        <v>411</v>
      </c>
      <c r="D378" s="24">
        <v>4.97</v>
      </c>
      <c r="E378" s="24">
        <v>3.6</v>
      </c>
      <c r="F378" s="24">
        <v>0</v>
      </c>
      <c r="G378" s="24">
        <v>0</v>
      </c>
      <c r="H378" s="24">
        <v>0</v>
      </c>
      <c r="I378" s="24">
        <v>0</v>
      </c>
      <c r="J378" s="24">
        <f t="shared" si="23"/>
        <v>8.57</v>
      </c>
      <c r="K378" s="24" t="s">
        <v>475</v>
      </c>
      <c r="L378" s="25">
        <f t="shared" si="26"/>
        <v>8.57</v>
      </c>
    </row>
    <row r="379" spans="1:12">
      <c r="A379" s="27">
        <v>30</v>
      </c>
      <c r="B379" s="45">
        <v>200943135</v>
      </c>
      <c r="C379" s="56" t="s">
        <v>412</v>
      </c>
      <c r="D379" s="24">
        <v>7.59</v>
      </c>
      <c r="E379" s="24">
        <v>0</v>
      </c>
      <c r="F379" s="24">
        <v>0</v>
      </c>
      <c r="G379" s="24">
        <v>0</v>
      </c>
      <c r="H379" s="24">
        <v>0</v>
      </c>
      <c r="I379" s="24">
        <v>0</v>
      </c>
      <c r="J379" s="24">
        <f t="shared" si="23"/>
        <v>7.59</v>
      </c>
      <c r="K379" s="24" t="s">
        <v>475</v>
      </c>
      <c r="L379" s="25">
        <f t="shared" si="26"/>
        <v>7.59</v>
      </c>
    </row>
    <row r="380" spans="1:12">
      <c r="A380" s="27">
        <v>31</v>
      </c>
      <c r="B380" s="45">
        <v>200943323</v>
      </c>
      <c r="C380" s="59" t="s">
        <v>413</v>
      </c>
      <c r="D380" s="24">
        <v>5.29</v>
      </c>
      <c r="E380" s="24">
        <v>8.64</v>
      </c>
      <c r="F380" s="24">
        <v>0</v>
      </c>
      <c r="G380" s="24">
        <v>9</v>
      </c>
      <c r="H380" s="24">
        <v>0</v>
      </c>
      <c r="I380" s="24">
        <v>0</v>
      </c>
      <c r="J380" s="24">
        <f t="shared" si="23"/>
        <v>22.93</v>
      </c>
      <c r="K380" s="24" t="s">
        <v>475</v>
      </c>
      <c r="L380" s="25">
        <f t="shared" si="26"/>
        <v>22.93</v>
      </c>
    </row>
    <row r="381" spans="1:12">
      <c r="A381" s="27">
        <v>32</v>
      </c>
      <c r="B381" s="45">
        <v>200943325</v>
      </c>
      <c r="C381" s="56" t="s">
        <v>414</v>
      </c>
      <c r="D381" s="24">
        <v>5.82</v>
      </c>
      <c r="E381" s="24">
        <v>2.4</v>
      </c>
      <c r="F381" s="24">
        <v>4.5</v>
      </c>
      <c r="G381" s="24">
        <v>9.6</v>
      </c>
      <c r="H381" s="24">
        <v>0</v>
      </c>
      <c r="I381" s="24">
        <v>0</v>
      </c>
      <c r="J381" s="24">
        <f t="shared" si="23"/>
        <v>22.32</v>
      </c>
      <c r="K381" s="24" t="s">
        <v>475</v>
      </c>
      <c r="L381" s="25">
        <f t="shared" si="26"/>
        <v>22.32</v>
      </c>
    </row>
    <row r="382" spans="1:12">
      <c r="A382" s="27">
        <v>33</v>
      </c>
      <c r="B382" s="45">
        <v>200943358</v>
      </c>
      <c r="C382" s="56" t="s">
        <v>415</v>
      </c>
      <c r="D382" s="24">
        <v>3.7</v>
      </c>
      <c r="E382" s="24">
        <v>6.25</v>
      </c>
      <c r="F382" s="24">
        <v>8.1</v>
      </c>
      <c r="G382" s="24">
        <v>10.8</v>
      </c>
      <c r="H382" s="24">
        <v>0</v>
      </c>
      <c r="I382" s="24">
        <v>0</v>
      </c>
      <c r="J382" s="24">
        <f t="shared" si="23"/>
        <v>28.849999999999998</v>
      </c>
      <c r="K382" s="24" t="s">
        <v>475</v>
      </c>
      <c r="L382" s="25">
        <f t="shared" si="26"/>
        <v>28.849999999999998</v>
      </c>
    </row>
    <row r="383" spans="1:12">
      <c r="A383" s="27">
        <v>34</v>
      </c>
      <c r="B383" s="45">
        <v>200943362</v>
      </c>
      <c r="C383" s="56" t="s">
        <v>416</v>
      </c>
      <c r="D383" s="24">
        <v>6.7</v>
      </c>
      <c r="E383" s="24">
        <v>5.76</v>
      </c>
      <c r="F383" s="24">
        <v>4.95</v>
      </c>
      <c r="G383" s="24">
        <v>9.6</v>
      </c>
      <c r="H383" s="24">
        <v>10.32</v>
      </c>
      <c r="I383" s="24">
        <v>14</v>
      </c>
      <c r="J383" s="24">
        <f t="shared" si="23"/>
        <v>51.330000000000005</v>
      </c>
      <c r="K383" s="24" t="s">
        <v>476</v>
      </c>
      <c r="L383" s="25">
        <v>51.33</v>
      </c>
    </row>
    <row r="384" spans="1:12">
      <c r="A384" s="27">
        <v>35</v>
      </c>
      <c r="B384" s="45">
        <v>200943370</v>
      </c>
      <c r="C384" s="60" t="s">
        <v>417</v>
      </c>
      <c r="D384" s="24">
        <v>7.41</v>
      </c>
      <c r="E384" s="24">
        <v>1.92</v>
      </c>
      <c r="F384" s="24">
        <v>8.4</v>
      </c>
      <c r="G384" s="24">
        <v>10.199999999999999</v>
      </c>
      <c r="H384" s="24">
        <v>10.32</v>
      </c>
      <c r="I384" s="24">
        <v>13.5</v>
      </c>
      <c r="J384" s="24">
        <f t="shared" si="23"/>
        <v>51.75</v>
      </c>
      <c r="K384" s="24">
        <v>13.6</v>
      </c>
      <c r="L384" s="25">
        <f t="shared" si="24"/>
        <v>65.349999999999994</v>
      </c>
    </row>
    <row r="385" spans="1:12">
      <c r="A385" s="27">
        <v>36</v>
      </c>
      <c r="B385" s="45">
        <v>200943372</v>
      </c>
      <c r="C385" s="60" t="s">
        <v>418</v>
      </c>
      <c r="D385" s="24">
        <v>4</v>
      </c>
      <c r="E385" s="24">
        <v>4.8</v>
      </c>
      <c r="F385" s="24">
        <v>4.05</v>
      </c>
      <c r="G385" s="24">
        <v>9</v>
      </c>
      <c r="H385" s="24">
        <v>10.08</v>
      </c>
      <c r="I385" s="24">
        <v>14.5</v>
      </c>
      <c r="J385" s="24">
        <f t="shared" si="23"/>
        <v>46.429999999999993</v>
      </c>
      <c r="K385" s="24">
        <v>16</v>
      </c>
      <c r="L385" s="25">
        <f t="shared" si="24"/>
        <v>62.429999999999993</v>
      </c>
    </row>
    <row r="386" spans="1:12">
      <c r="A386" s="27">
        <v>37</v>
      </c>
      <c r="B386" s="45">
        <v>200943511</v>
      </c>
      <c r="C386" s="56" t="s">
        <v>419</v>
      </c>
      <c r="D386" s="24">
        <v>6.53</v>
      </c>
      <c r="E386" s="24">
        <v>4.8</v>
      </c>
      <c r="F386" s="24">
        <v>10.65</v>
      </c>
      <c r="G386" s="24">
        <v>11.4</v>
      </c>
      <c r="H386" s="24">
        <v>10.08</v>
      </c>
      <c r="I386" s="24">
        <v>14</v>
      </c>
      <c r="J386" s="24">
        <f t="shared" si="23"/>
        <v>57.459999999999994</v>
      </c>
      <c r="K386" s="24">
        <v>18</v>
      </c>
      <c r="L386" s="25">
        <f t="shared" si="24"/>
        <v>75.459999999999994</v>
      </c>
    </row>
    <row r="387" spans="1:12">
      <c r="A387" s="27">
        <v>38</v>
      </c>
      <c r="B387" s="45">
        <v>200943638</v>
      </c>
      <c r="C387" s="60" t="s">
        <v>420</v>
      </c>
      <c r="D387" s="24">
        <v>5.65</v>
      </c>
      <c r="E387" s="24">
        <v>6.75</v>
      </c>
      <c r="F387" s="24">
        <v>2.7</v>
      </c>
      <c r="G387" s="24">
        <v>9</v>
      </c>
      <c r="H387" s="24">
        <v>7.68</v>
      </c>
      <c r="I387" s="24">
        <v>14</v>
      </c>
      <c r="J387" s="24">
        <f t="shared" si="23"/>
        <v>45.78</v>
      </c>
      <c r="K387" s="24">
        <v>12</v>
      </c>
      <c r="L387" s="25">
        <f t="shared" si="24"/>
        <v>57.78</v>
      </c>
    </row>
    <row r="388" spans="1:12">
      <c r="A388" s="27">
        <v>39</v>
      </c>
      <c r="B388" s="45">
        <v>200943718</v>
      </c>
      <c r="C388" s="60" t="s">
        <v>421</v>
      </c>
      <c r="D388" s="24">
        <v>6.88</v>
      </c>
      <c r="E388" s="24">
        <v>7.68</v>
      </c>
      <c r="F388" s="24">
        <v>8.1</v>
      </c>
      <c r="G388" s="24">
        <v>7.8</v>
      </c>
      <c r="H388" s="24">
        <v>10.56</v>
      </c>
      <c r="I388" s="24">
        <v>13.5</v>
      </c>
      <c r="J388" s="24">
        <f t="shared" si="23"/>
        <v>54.52</v>
      </c>
      <c r="K388" s="24">
        <v>15.2</v>
      </c>
      <c r="L388" s="25">
        <f t="shared" si="24"/>
        <v>69.72</v>
      </c>
    </row>
    <row r="389" spans="1:12">
      <c r="A389" s="27">
        <v>40</v>
      </c>
      <c r="B389" s="45">
        <v>200944070</v>
      </c>
      <c r="C389" s="60" t="s">
        <v>422</v>
      </c>
      <c r="D389" s="24">
        <v>6.7</v>
      </c>
      <c r="E389" s="24">
        <v>0</v>
      </c>
      <c r="F389" s="24">
        <v>0</v>
      </c>
      <c r="G389" s="24">
        <v>0</v>
      </c>
      <c r="H389" s="24">
        <v>0</v>
      </c>
      <c r="I389" s="24">
        <v>0</v>
      </c>
      <c r="J389" s="24">
        <f t="shared" si="23"/>
        <v>6.7</v>
      </c>
      <c r="K389" s="24" t="s">
        <v>475</v>
      </c>
      <c r="L389" s="25">
        <f>+J389</f>
        <v>6.7</v>
      </c>
    </row>
    <row r="390" spans="1:12">
      <c r="A390" s="27">
        <v>41</v>
      </c>
      <c r="B390" s="45">
        <v>200946028</v>
      </c>
      <c r="C390" s="60" t="s">
        <v>423</v>
      </c>
      <c r="D390" s="24">
        <v>1.94</v>
      </c>
      <c r="E390" s="24">
        <v>2.4</v>
      </c>
      <c r="F390" s="24">
        <v>1.8</v>
      </c>
      <c r="G390" s="24">
        <v>5.4</v>
      </c>
      <c r="H390" s="24">
        <v>0</v>
      </c>
      <c r="I390" s="24">
        <v>0</v>
      </c>
      <c r="J390" s="24">
        <f t="shared" si="23"/>
        <v>11.54</v>
      </c>
      <c r="K390" s="24" t="s">
        <v>475</v>
      </c>
      <c r="L390" s="25">
        <f t="shared" ref="L390:L391" si="27">+J390</f>
        <v>11.54</v>
      </c>
    </row>
    <row r="391" spans="1:12">
      <c r="A391" s="27">
        <v>42</v>
      </c>
      <c r="B391" s="45">
        <v>200980056</v>
      </c>
      <c r="C391" s="60" t="s">
        <v>424</v>
      </c>
      <c r="D391" s="24">
        <v>4.76</v>
      </c>
      <c r="E391" s="24">
        <v>6.25</v>
      </c>
      <c r="F391" s="24">
        <v>6</v>
      </c>
      <c r="G391" s="24">
        <v>0</v>
      </c>
      <c r="H391" s="24">
        <v>0</v>
      </c>
      <c r="I391" s="24">
        <v>0</v>
      </c>
      <c r="J391" s="24">
        <f t="shared" si="23"/>
        <v>17.009999999999998</v>
      </c>
      <c r="K391" s="24" t="s">
        <v>475</v>
      </c>
      <c r="L391" s="25">
        <f t="shared" si="27"/>
        <v>17.009999999999998</v>
      </c>
    </row>
    <row r="392" spans="1:12">
      <c r="A392" s="27">
        <v>43</v>
      </c>
      <c r="B392" s="45">
        <v>200946343</v>
      </c>
      <c r="C392" s="60" t="s">
        <v>425</v>
      </c>
      <c r="D392" s="24">
        <v>5.82</v>
      </c>
      <c r="E392" s="24">
        <v>2.88</v>
      </c>
      <c r="F392" s="24">
        <v>4.8</v>
      </c>
      <c r="G392" s="24">
        <v>9.6</v>
      </c>
      <c r="H392" s="24">
        <v>8.4</v>
      </c>
      <c r="I392" s="24">
        <v>14</v>
      </c>
      <c r="J392" s="24">
        <f t="shared" si="23"/>
        <v>45.5</v>
      </c>
      <c r="K392" s="24">
        <v>12.8</v>
      </c>
      <c r="L392" s="25">
        <f t="shared" si="24"/>
        <v>58.3</v>
      </c>
    </row>
    <row r="393" spans="1:12">
      <c r="A393" s="29"/>
      <c r="B393" s="29"/>
      <c r="C393" s="30"/>
      <c r="D393" s="31"/>
      <c r="E393" s="31"/>
      <c r="F393" s="31"/>
      <c r="G393" s="31"/>
      <c r="H393" s="31"/>
      <c r="I393" s="31"/>
      <c r="J393" s="31"/>
      <c r="K393" s="31"/>
      <c r="L393" s="32"/>
    </row>
    <row r="394" spans="1:12">
      <c r="A394" s="29"/>
      <c r="B394" s="29"/>
      <c r="C394" s="30"/>
      <c r="D394" s="31"/>
      <c r="E394" s="31"/>
      <c r="F394" s="31"/>
      <c r="G394" s="31"/>
      <c r="H394" s="31"/>
      <c r="I394" s="31"/>
      <c r="J394" s="31"/>
      <c r="K394" s="31"/>
      <c r="L394" s="32"/>
    </row>
    <row r="395" spans="1:12" ht="17.25" thickBot="1">
      <c r="A395" s="33"/>
      <c r="B395" s="33"/>
      <c r="C395" s="34"/>
      <c r="D395" s="31"/>
      <c r="E395" s="31"/>
      <c r="F395" s="31"/>
      <c r="G395" s="31"/>
      <c r="H395" s="35"/>
      <c r="I395" s="35"/>
      <c r="J395" s="35"/>
      <c r="K395" s="9"/>
      <c r="L395" s="32"/>
    </row>
    <row r="396" spans="1:12">
      <c r="H396" s="100" t="s">
        <v>467</v>
      </c>
      <c r="I396" s="100"/>
      <c r="J396" s="100"/>
      <c r="L396" s="1"/>
    </row>
    <row r="397" spans="1:12">
      <c r="D397" s="36"/>
      <c r="H397" s="100" t="s">
        <v>430</v>
      </c>
      <c r="I397" s="100"/>
      <c r="J397" s="100"/>
      <c r="L397" s="1"/>
    </row>
    <row r="398" spans="1:12">
      <c r="D398" s="36"/>
      <c r="H398" s="100" t="s">
        <v>465</v>
      </c>
      <c r="I398" s="100"/>
      <c r="J398" s="100"/>
      <c r="L398" s="1"/>
    </row>
    <row r="422" spans="1:12" ht="17.25" thickBot="1">
      <c r="A422" s="1" t="s">
        <v>0</v>
      </c>
      <c r="I422" s="3"/>
    </row>
    <row r="423" spans="1:12">
      <c r="A423" s="1" t="s">
        <v>1</v>
      </c>
      <c r="F423" s="4"/>
      <c r="G423" s="5"/>
      <c r="H423" s="6"/>
      <c r="I423" s="7"/>
    </row>
    <row r="424" spans="1:12">
      <c r="A424" s="8" t="s">
        <v>2</v>
      </c>
      <c r="B424" s="9"/>
      <c r="E424" s="7"/>
      <c r="F424" s="10"/>
      <c r="G424" s="11"/>
      <c r="H424" s="12"/>
      <c r="I424" s="7"/>
    </row>
    <row r="425" spans="1:12" ht="17.25" thickBot="1">
      <c r="A425" s="13" t="s">
        <v>3</v>
      </c>
      <c r="B425" s="9"/>
      <c r="E425" s="7"/>
      <c r="F425" s="10"/>
      <c r="G425" s="11"/>
      <c r="H425" s="12"/>
      <c r="I425" s="7"/>
    </row>
    <row r="426" spans="1:12" ht="17.25" thickBot="1">
      <c r="A426" s="14" t="s">
        <v>22</v>
      </c>
      <c r="B426" s="15"/>
      <c r="C426" s="16"/>
      <c r="E426" s="7"/>
      <c r="F426" s="17"/>
      <c r="G426" s="18"/>
      <c r="H426" s="19"/>
      <c r="I426" s="7"/>
    </row>
    <row r="427" spans="1:12">
      <c r="A427" s="8"/>
      <c r="B427" s="9"/>
      <c r="E427" s="7"/>
      <c r="I427" s="3"/>
    </row>
    <row r="428" spans="1:12">
      <c r="A428" s="1" t="s">
        <v>91</v>
      </c>
      <c r="B428" s="9"/>
      <c r="C428" s="20" t="s">
        <v>300</v>
      </c>
      <c r="E428" s="7"/>
      <c r="I428" s="3"/>
    </row>
    <row r="429" spans="1:12">
      <c r="A429" s="1" t="s">
        <v>4</v>
      </c>
      <c r="C429" s="20" t="s">
        <v>462</v>
      </c>
      <c r="I429" s="3"/>
    </row>
    <row r="430" spans="1:12">
      <c r="A430" s="1" t="s">
        <v>5</v>
      </c>
      <c r="C430" s="20" t="s">
        <v>463</v>
      </c>
    </row>
    <row r="431" spans="1:12">
      <c r="A431" s="21"/>
      <c r="B431" s="21"/>
      <c r="C431" s="21"/>
      <c r="D431" s="21"/>
      <c r="E431" s="21"/>
      <c r="F431" s="21"/>
      <c r="G431" s="21"/>
      <c r="H431" s="21"/>
      <c r="I431" s="21"/>
      <c r="J431" s="21"/>
    </row>
    <row r="432" spans="1:12">
      <c r="A432" s="1"/>
      <c r="C432" s="22" t="s">
        <v>6</v>
      </c>
      <c r="D432" s="22" t="s">
        <v>435</v>
      </c>
      <c r="E432" s="22" t="s">
        <v>435</v>
      </c>
      <c r="F432" s="22" t="s">
        <v>435</v>
      </c>
      <c r="G432" s="22" t="s">
        <v>435</v>
      </c>
      <c r="H432" s="22" t="s">
        <v>435</v>
      </c>
      <c r="I432" s="22" t="s">
        <v>7</v>
      </c>
      <c r="J432" s="22" t="s">
        <v>8</v>
      </c>
      <c r="K432" s="22" t="s">
        <v>7</v>
      </c>
      <c r="L432" s="22" t="s">
        <v>9</v>
      </c>
    </row>
    <row r="433" spans="1:12">
      <c r="A433" s="22" t="s">
        <v>10</v>
      </c>
      <c r="B433" s="22" t="s">
        <v>11</v>
      </c>
      <c r="C433" s="22" t="s">
        <v>12</v>
      </c>
      <c r="D433" s="22" t="s">
        <v>13</v>
      </c>
      <c r="E433" s="22" t="s">
        <v>14</v>
      </c>
      <c r="F433" s="22" t="s">
        <v>15</v>
      </c>
      <c r="G433" s="22" t="s">
        <v>16</v>
      </c>
      <c r="H433" s="22" t="s">
        <v>17</v>
      </c>
      <c r="I433" s="22" t="s">
        <v>95</v>
      </c>
      <c r="J433" s="22" t="s">
        <v>18</v>
      </c>
      <c r="K433" s="22" t="s">
        <v>19</v>
      </c>
      <c r="L433" s="22" t="s">
        <v>20</v>
      </c>
    </row>
    <row r="434" spans="1:12">
      <c r="A434" s="23">
        <v>1</v>
      </c>
      <c r="B434" s="45">
        <v>200617648</v>
      </c>
      <c r="C434" s="56" t="s">
        <v>302</v>
      </c>
      <c r="D434" s="24">
        <v>5.65</v>
      </c>
      <c r="E434" s="24">
        <v>4</v>
      </c>
      <c r="F434" s="24">
        <v>3.45</v>
      </c>
      <c r="G434" s="24">
        <v>9.6</v>
      </c>
      <c r="H434" s="24">
        <v>2.48</v>
      </c>
      <c r="I434" s="24">
        <v>16</v>
      </c>
      <c r="J434" s="24">
        <f>+I434+H434+G434+F434+E434+D434</f>
        <v>41.18</v>
      </c>
      <c r="K434" s="24">
        <v>4.8</v>
      </c>
      <c r="L434" s="25">
        <f>+K434+J434</f>
        <v>45.98</v>
      </c>
    </row>
    <row r="435" spans="1:12">
      <c r="A435" s="26">
        <v>2</v>
      </c>
      <c r="B435" s="45">
        <v>200821585</v>
      </c>
      <c r="C435" s="59" t="s">
        <v>308</v>
      </c>
      <c r="D435" s="24">
        <v>1.41</v>
      </c>
      <c r="E435" s="24">
        <v>2</v>
      </c>
      <c r="F435" s="24">
        <v>0.6</v>
      </c>
      <c r="G435" s="24">
        <v>6.6</v>
      </c>
      <c r="H435" s="24">
        <v>0.96</v>
      </c>
      <c r="I435" s="24">
        <v>16</v>
      </c>
      <c r="J435" s="24">
        <f t="shared" ref="J435:J477" si="28">+I435+H435+G435+F435+E435+D435</f>
        <v>27.570000000000004</v>
      </c>
      <c r="K435" s="24" t="s">
        <v>475</v>
      </c>
      <c r="L435" s="25">
        <f>+J435</f>
        <v>27.570000000000004</v>
      </c>
    </row>
    <row r="436" spans="1:12">
      <c r="A436" s="27">
        <v>3</v>
      </c>
      <c r="B436" s="45">
        <v>200841793</v>
      </c>
      <c r="C436" s="56" t="s">
        <v>313</v>
      </c>
      <c r="D436" s="24">
        <v>3.88</v>
      </c>
      <c r="E436" s="24">
        <v>2</v>
      </c>
      <c r="F436" s="24">
        <v>0</v>
      </c>
      <c r="G436" s="24">
        <v>0</v>
      </c>
      <c r="H436" s="24">
        <v>0</v>
      </c>
      <c r="I436" s="24">
        <v>16</v>
      </c>
      <c r="J436" s="24">
        <f t="shared" si="28"/>
        <v>21.88</v>
      </c>
      <c r="K436" s="24" t="s">
        <v>475</v>
      </c>
      <c r="L436" s="25">
        <f t="shared" ref="L436:L440" si="29">+J436</f>
        <v>21.88</v>
      </c>
    </row>
    <row r="437" spans="1:12">
      <c r="A437" s="26">
        <v>4</v>
      </c>
      <c r="B437" s="45">
        <v>200842047</v>
      </c>
      <c r="C437" s="56" t="s">
        <v>315</v>
      </c>
      <c r="D437" s="24">
        <v>2.4700000000000002</v>
      </c>
      <c r="E437" s="24">
        <v>4</v>
      </c>
      <c r="F437" s="24">
        <v>1.8</v>
      </c>
      <c r="G437" s="24">
        <v>9</v>
      </c>
      <c r="H437" s="24">
        <v>1.2</v>
      </c>
      <c r="I437" s="24">
        <v>16</v>
      </c>
      <c r="J437" s="24">
        <f t="shared" si="28"/>
        <v>34.47</v>
      </c>
      <c r="K437" s="24" t="s">
        <v>475</v>
      </c>
      <c r="L437" s="25">
        <f t="shared" si="29"/>
        <v>34.47</v>
      </c>
    </row>
    <row r="438" spans="1:12">
      <c r="A438" s="26">
        <v>5</v>
      </c>
      <c r="B438" s="45">
        <v>200842088</v>
      </c>
      <c r="C438" s="59" t="s">
        <v>321</v>
      </c>
      <c r="D438" s="24">
        <v>2.65</v>
      </c>
      <c r="E438" s="24">
        <v>4.8</v>
      </c>
      <c r="F438" s="24">
        <v>1.05</v>
      </c>
      <c r="G438" s="24">
        <v>8.4</v>
      </c>
      <c r="H438" s="24">
        <v>3.12</v>
      </c>
      <c r="I438" s="24">
        <v>16</v>
      </c>
      <c r="J438" s="24">
        <f t="shared" si="28"/>
        <v>36.020000000000003</v>
      </c>
      <c r="K438" s="24" t="s">
        <v>475</v>
      </c>
      <c r="L438" s="25">
        <f t="shared" si="29"/>
        <v>36.020000000000003</v>
      </c>
    </row>
    <row r="439" spans="1:12">
      <c r="A439" s="26">
        <v>6</v>
      </c>
      <c r="B439" s="45">
        <v>200842091</v>
      </c>
      <c r="C439" s="60" t="s">
        <v>322</v>
      </c>
      <c r="D439" s="24">
        <v>2.65</v>
      </c>
      <c r="E439" s="24">
        <v>3.8</v>
      </c>
      <c r="F439" s="24">
        <v>3.45</v>
      </c>
      <c r="G439" s="24">
        <v>8.4</v>
      </c>
      <c r="H439" s="24">
        <v>0</v>
      </c>
      <c r="I439" s="24">
        <v>16</v>
      </c>
      <c r="J439" s="24">
        <f t="shared" si="28"/>
        <v>34.299999999999997</v>
      </c>
      <c r="K439" s="24" t="s">
        <v>475</v>
      </c>
      <c r="L439" s="25">
        <f t="shared" si="29"/>
        <v>34.299999999999997</v>
      </c>
    </row>
    <row r="440" spans="1:12">
      <c r="A440" s="26">
        <v>7</v>
      </c>
      <c r="B440" s="45">
        <v>200842106</v>
      </c>
      <c r="C440" s="56" t="s">
        <v>323</v>
      </c>
      <c r="D440" s="24">
        <v>2.11</v>
      </c>
      <c r="E440" s="24">
        <v>2.8</v>
      </c>
      <c r="F440" s="24">
        <v>0.9</v>
      </c>
      <c r="G440" s="24">
        <v>4.8</v>
      </c>
      <c r="H440" s="24">
        <v>0</v>
      </c>
      <c r="I440" s="24">
        <v>16</v>
      </c>
      <c r="J440" s="24">
        <f t="shared" si="28"/>
        <v>26.61</v>
      </c>
      <c r="K440" s="24" t="s">
        <v>475</v>
      </c>
      <c r="L440" s="25">
        <f t="shared" si="29"/>
        <v>26.61</v>
      </c>
    </row>
    <row r="441" spans="1:12">
      <c r="A441" s="26">
        <v>8</v>
      </c>
      <c r="B441" s="45">
        <v>200842108</v>
      </c>
      <c r="C441" s="56" t="s">
        <v>324</v>
      </c>
      <c r="D441" s="24">
        <v>6</v>
      </c>
      <c r="E441" s="24">
        <v>5</v>
      </c>
      <c r="F441" s="24">
        <v>8.1</v>
      </c>
      <c r="G441" s="24">
        <v>9</v>
      </c>
      <c r="H441" s="24">
        <v>0</v>
      </c>
      <c r="I441" s="24">
        <v>16</v>
      </c>
      <c r="J441" s="24">
        <f t="shared" si="28"/>
        <v>44.1</v>
      </c>
      <c r="K441" s="24">
        <v>9.6</v>
      </c>
      <c r="L441" s="25">
        <f t="shared" ref="L441:L477" si="30">+K441+J441</f>
        <v>53.7</v>
      </c>
    </row>
    <row r="442" spans="1:12">
      <c r="A442" s="26">
        <v>9</v>
      </c>
      <c r="B442" s="45">
        <v>200842128</v>
      </c>
      <c r="C442" s="58" t="s">
        <v>325</v>
      </c>
      <c r="D442" s="24">
        <v>1.59</v>
      </c>
      <c r="E442" s="24">
        <v>5.2</v>
      </c>
      <c r="F442" s="24">
        <v>2.1</v>
      </c>
      <c r="G442" s="24">
        <v>10.199999999999999</v>
      </c>
      <c r="H442" s="24">
        <v>6.27</v>
      </c>
      <c r="I442" s="24">
        <v>16</v>
      </c>
      <c r="J442" s="24">
        <f t="shared" si="28"/>
        <v>41.360000000000007</v>
      </c>
      <c r="K442" s="24">
        <v>2</v>
      </c>
      <c r="L442" s="25">
        <f>+K442+J442</f>
        <v>43.360000000000007</v>
      </c>
    </row>
    <row r="443" spans="1:12">
      <c r="A443" s="26">
        <v>10</v>
      </c>
      <c r="B443" s="45">
        <v>200842131</v>
      </c>
      <c r="C443" s="56" t="s">
        <v>326</v>
      </c>
      <c r="D443" s="24">
        <v>4.59</v>
      </c>
      <c r="E443" s="24">
        <v>5.6</v>
      </c>
      <c r="F443" s="24">
        <v>5.25</v>
      </c>
      <c r="G443" s="24">
        <v>10.199999999999999</v>
      </c>
      <c r="H443" s="24">
        <v>2.16</v>
      </c>
      <c r="I443" s="24">
        <v>16</v>
      </c>
      <c r="J443" s="24">
        <f t="shared" si="28"/>
        <v>43.8</v>
      </c>
      <c r="K443" s="24">
        <v>14</v>
      </c>
      <c r="L443" s="25">
        <f t="shared" si="30"/>
        <v>57.8</v>
      </c>
    </row>
    <row r="444" spans="1:12">
      <c r="A444" s="26">
        <v>11</v>
      </c>
      <c r="B444" s="45">
        <v>200843352</v>
      </c>
      <c r="C444" s="60" t="s">
        <v>330</v>
      </c>
      <c r="D444" s="24">
        <v>3.88</v>
      </c>
      <c r="E444" s="24">
        <v>3.8</v>
      </c>
      <c r="F444" s="24">
        <v>2.85</v>
      </c>
      <c r="G444" s="24">
        <v>7.8</v>
      </c>
      <c r="H444" s="28">
        <v>1.92</v>
      </c>
      <c r="I444" s="24">
        <v>16</v>
      </c>
      <c r="J444" s="24">
        <f t="shared" si="28"/>
        <v>36.250000000000007</v>
      </c>
      <c r="K444" s="24" t="s">
        <v>475</v>
      </c>
      <c r="L444" s="25">
        <f>+J444</f>
        <v>36.250000000000007</v>
      </c>
    </row>
    <row r="445" spans="1:12">
      <c r="A445" s="26">
        <v>12</v>
      </c>
      <c r="B445" s="45">
        <v>200843401</v>
      </c>
      <c r="C445" s="56" t="s">
        <v>331</v>
      </c>
      <c r="D445" s="24">
        <v>1.59</v>
      </c>
      <c r="E445" s="24">
        <v>2.2000000000000002</v>
      </c>
      <c r="F445" s="24">
        <v>0.75</v>
      </c>
      <c r="G445" s="24">
        <v>3</v>
      </c>
      <c r="H445" s="28">
        <v>3.12</v>
      </c>
      <c r="I445" s="24">
        <v>16</v>
      </c>
      <c r="J445" s="24">
        <f t="shared" si="28"/>
        <v>26.66</v>
      </c>
      <c r="K445" s="24" t="s">
        <v>475</v>
      </c>
      <c r="L445" s="25">
        <f>+J445</f>
        <v>26.66</v>
      </c>
    </row>
    <row r="446" spans="1:12">
      <c r="A446" s="26">
        <v>13</v>
      </c>
      <c r="B446" s="45">
        <v>200844524</v>
      </c>
      <c r="C446" s="56" t="s">
        <v>333</v>
      </c>
      <c r="D446" s="24">
        <v>5.65</v>
      </c>
      <c r="E446" s="24">
        <v>5.2</v>
      </c>
      <c r="F446" s="24">
        <v>4.2</v>
      </c>
      <c r="G446" s="24">
        <v>9</v>
      </c>
      <c r="H446" s="28">
        <v>5.28</v>
      </c>
      <c r="I446" s="24">
        <v>16</v>
      </c>
      <c r="J446" s="24">
        <f t="shared" si="28"/>
        <v>45.330000000000005</v>
      </c>
      <c r="K446" s="24">
        <v>10.4</v>
      </c>
      <c r="L446" s="25">
        <f t="shared" si="30"/>
        <v>55.730000000000004</v>
      </c>
    </row>
    <row r="447" spans="1:12">
      <c r="A447" s="23">
        <v>14</v>
      </c>
      <c r="B447" s="45">
        <v>200940329</v>
      </c>
      <c r="C447" s="56" t="s">
        <v>334</v>
      </c>
      <c r="D447" s="24">
        <v>4.9400000000000004</v>
      </c>
      <c r="E447" s="24">
        <v>3.8</v>
      </c>
      <c r="F447" s="24">
        <v>4.6500000000000004</v>
      </c>
      <c r="G447" s="24">
        <v>9.6</v>
      </c>
      <c r="H447" s="28">
        <v>6</v>
      </c>
      <c r="I447" s="24">
        <v>16</v>
      </c>
      <c r="J447" s="24">
        <f t="shared" si="28"/>
        <v>44.989999999999995</v>
      </c>
      <c r="K447" s="24">
        <v>13.6</v>
      </c>
      <c r="L447" s="25">
        <f t="shared" si="30"/>
        <v>58.589999999999996</v>
      </c>
    </row>
    <row r="448" spans="1:12">
      <c r="A448" s="23">
        <v>15</v>
      </c>
      <c r="B448" s="45">
        <v>200940434</v>
      </c>
      <c r="C448" s="60" t="s">
        <v>335</v>
      </c>
      <c r="D448" s="24">
        <v>6.88</v>
      </c>
      <c r="E448" s="24">
        <v>4</v>
      </c>
      <c r="F448" s="24">
        <v>5.0999999999999996</v>
      </c>
      <c r="G448" s="24">
        <v>9</v>
      </c>
      <c r="H448" s="24">
        <v>6.48</v>
      </c>
      <c r="I448" s="24">
        <v>16</v>
      </c>
      <c r="J448" s="24">
        <f t="shared" si="28"/>
        <v>47.46</v>
      </c>
      <c r="K448" s="24">
        <v>16</v>
      </c>
      <c r="L448" s="25">
        <f t="shared" si="30"/>
        <v>63.46</v>
      </c>
    </row>
    <row r="449" spans="1:12">
      <c r="A449" s="23">
        <v>16</v>
      </c>
      <c r="B449" s="45">
        <v>200940498</v>
      </c>
      <c r="C449" s="56" t="s">
        <v>336</v>
      </c>
      <c r="D449" s="24">
        <v>4.76</v>
      </c>
      <c r="E449" s="24">
        <v>5.8</v>
      </c>
      <c r="F449" s="24">
        <v>5.7</v>
      </c>
      <c r="G449" s="24">
        <v>11.4</v>
      </c>
      <c r="H449" s="24">
        <v>6.96</v>
      </c>
      <c r="I449" s="24">
        <v>16</v>
      </c>
      <c r="J449" s="24">
        <f t="shared" si="28"/>
        <v>50.62</v>
      </c>
      <c r="K449" s="24">
        <v>15.2</v>
      </c>
      <c r="L449" s="25">
        <f t="shared" si="30"/>
        <v>65.819999999999993</v>
      </c>
    </row>
    <row r="450" spans="1:12">
      <c r="A450" s="23">
        <v>17</v>
      </c>
      <c r="B450" s="45">
        <v>200940524</v>
      </c>
      <c r="C450" s="59" t="s">
        <v>337</v>
      </c>
      <c r="D450" s="24">
        <v>6.53</v>
      </c>
      <c r="E450" s="24">
        <v>5.8</v>
      </c>
      <c r="F450" s="24">
        <v>4.95</v>
      </c>
      <c r="G450" s="24">
        <v>9</v>
      </c>
      <c r="H450" s="24">
        <v>7.2</v>
      </c>
      <c r="I450" s="24">
        <v>16</v>
      </c>
      <c r="J450" s="24">
        <f t="shared" si="28"/>
        <v>49.480000000000004</v>
      </c>
      <c r="K450" s="24">
        <v>16.8</v>
      </c>
      <c r="L450" s="25">
        <f t="shared" si="30"/>
        <v>66.28</v>
      </c>
    </row>
    <row r="451" spans="1:12">
      <c r="A451" s="27">
        <v>18</v>
      </c>
      <c r="B451" s="45">
        <v>200940708</v>
      </c>
      <c r="C451" s="56" t="s">
        <v>338</v>
      </c>
      <c r="D451" s="24">
        <v>3.71</v>
      </c>
      <c r="E451" s="24">
        <v>2.4</v>
      </c>
      <c r="F451" s="24">
        <v>0.9</v>
      </c>
      <c r="G451" s="24">
        <v>0</v>
      </c>
      <c r="H451" s="24">
        <v>0</v>
      </c>
      <c r="I451" s="24">
        <v>16</v>
      </c>
      <c r="J451" s="24">
        <f t="shared" si="28"/>
        <v>23.009999999999998</v>
      </c>
      <c r="K451" s="24" t="s">
        <v>475</v>
      </c>
      <c r="L451" s="25">
        <f>+J451</f>
        <v>23.009999999999998</v>
      </c>
    </row>
    <row r="452" spans="1:12">
      <c r="A452" s="27">
        <v>19</v>
      </c>
      <c r="B452" s="45">
        <v>200941405</v>
      </c>
      <c r="C452" s="56" t="s">
        <v>339</v>
      </c>
      <c r="D452" s="24">
        <v>3.71</v>
      </c>
      <c r="E452" s="24">
        <v>3.6</v>
      </c>
      <c r="F452" s="24">
        <v>3.15</v>
      </c>
      <c r="G452" s="24">
        <v>7.2</v>
      </c>
      <c r="H452" s="24">
        <v>0</v>
      </c>
      <c r="I452" s="24">
        <v>16</v>
      </c>
      <c r="J452" s="24">
        <f t="shared" si="28"/>
        <v>33.659999999999997</v>
      </c>
      <c r="K452" s="24" t="s">
        <v>475</v>
      </c>
      <c r="L452" s="25">
        <f t="shared" ref="L452" si="31">+J452</f>
        <v>33.659999999999997</v>
      </c>
    </row>
    <row r="453" spans="1:12">
      <c r="A453" s="27">
        <v>20</v>
      </c>
      <c r="B453" s="57">
        <v>200941695</v>
      </c>
      <c r="C453" s="60" t="s">
        <v>340</v>
      </c>
      <c r="D453" s="24">
        <v>5.82</v>
      </c>
      <c r="E453" s="24">
        <v>4</v>
      </c>
      <c r="F453" s="24">
        <v>3.3</v>
      </c>
      <c r="G453" s="24">
        <v>7.8</v>
      </c>
      <c r="H453" s="24">
        <v>4.08</v>
      </c>
      <c r="I453" s="24">
        <v>16</v>
      </c>
      <c r="J453" s="24">
        <f t="shared" si="28"/>
        <v>41</v>
      </c>
      <c r="K453" s="24">
        <v>8.4</v>
      </c>
      <c r="L453" s="25">
        <f>+K453+J453</f>
        <v>49.4</v>
      </c>
    </row>
    <row r="454" spans="1:12">
      <c r="A454" s="27">
        <v>21</v>
      </c>
      <c r="B454" s="45">
        <v>200942683</v>
      </c>
      <c r="C454" s="59" t="s">
        <v>341</v>
      </c>
      <c r="D454" s="24">
        <v>7.76</v>
      </c>
      <c r="E454" s="24">
        <v>3.8</v>
      </c>
      <c r="F454" s="24">
        <v>4.3499999999999996</v>
      </c>
      <c r="G454" s="24">
        <v>9.6</v>
      </c>
      <c r="H454" s="24">
        <v>6.24</v>
      </c>
      <c r="I454" s="24">
        <v>16</v>
      </c>
      <c r="J454" s="24">
        <f t="shared" si="28"/>
        <v>47.75</v>
      </c>
      <c r="K454" s="24">
        <v>15.2</v>
      </c>
      <c r="L454" s="25">
        <f t="shared" si="30"/>
        <v>62.95</v>
      </c>
    </row>
    <row r="455" spans="1:12">
      <c r="A455" s="27">
        <v>22</v>
      </c>
      <c r="B455" s="45">
        <v>200943123</v>
      </c>
      <c r="C455" s="56" t="s">
        <v>342</v>
      </c>
      <c r="D455" s="24">
        <v>4.9400000000000004</v>
      </c>
      <c r="E455" s="24">
        <v>4.4000000000000004</v>
      </c>
      <c r="F455" s="24">
        <v>3.3</v>
      </c>
      <c r="G455" s="24">
        <v>10.199999999999999</v>
      </c>
      <c r="H455" s="24">
        <v>0</v>
      </c>
      <c r="I455" s="24">
        <v>16</v>
      </c>
      <c r="J455" s="24">
        <f t="shared" si="28"/>
        <v>38.839999999999996</v>
      </c>
      <c r="K455" s="24" t="s">
        <v>475</v>
      </c>
      <c r="L455" s="25">
        <f>+J455</f>
        <v>38.839999999999996</v>
      </c>
    </row>
    <row r="456" spans="1:12">
      <c r="A456" s="27">
        <v>23</v>
      </c>
      <c r="B456" s="45">
        <v>200943127</v>
      </c>
      <c r="C456" s="59" t="s">
        <v>343</v>
      </c>
      <c r="D456" s="24">
        <v>5.65</v>
      </c>
      <c r="E456" s="24">
        <v>4</v>
      </c>
      <c r="F456" s="24">
        <v>2.1</v>
      </c>
      <c r="G456" s="24">
        <v>10.8</v>
      </c>
      <c r="H456" s="24">
        <v>4.32</v>
      </c>
      <c r="I456" s="24">
        <v>16</v>
      </c>
      <c r="J456" s="24">
        <f t="shared" si="28"/>
        <v>42.87</v>
      </c>
      <c r="K456" s="24">
        <v>9.1999999999999993</v>
      </c>
      <c r="L456" s="25">
        <f t="shared" si="30"/>
        <v>52.069999999999993</v>
      </c>
    </row>
    <row r="457" spans="1:12">
      <c r="A457" s="27">
        <v>24</v>
      </c>
      <c r="B457" s="45">
        <v>200943365</v>
      </c>
      <c r="C457" s="56" t="s">
        <v>344</v>
      </c>
      <c r="D457" s="24">
        <v>5.82</v>
      </c>
      <c r="E457" s="24">
        <v>3</v>
      </c>
      <c r="F457" s="24">
        <v>1.8</v>
      </c>
      <c r="G457" s="24">
        <v>0</v>
      </c>
      <c r="H457" s="24">
        <v>0</v>
      </c>
      <c r="I457" s="24">
        <v>16</v>
      </c>
      <c r="J457" s="24">
        <f t="shared" si="28"/>
        <v>26.62</v>
      </c>
      <c r="K457" s="24" t="s">
        <v>475</v>
      </c>
      <c r="L457" s="25">
        <f>+J457</f>
        <v>26.62</v>
      </c>
    </row>
    <row r="458" spans="1:12">
      <c r="A458" s="27">
        <v>25</v>
      </c>
      <c r="B458" s="45">
        <v>200943369</v>
      </c>
      <c r="C458" s="56" t="s">
        <v>345</v>
      </c>
      <c r="D458" s="24">
        <v>2.82</v>
      </c>
      <c r="E458" s="24">
        <v>3.6</v>
      </c>
      <c r="F458" s="24">
        <v>3.3</v>
      </c>
      <c r="G458" s="24">
        <v>7.8</v>
      </c>
      <c r="H458" s="24">
        <v>4.32</v>
      </c>
      <c r="I458" s="24">
        <v>16</v>
      </c>
      <c r="J458" s="24">
        <f t="shared" si="28"/>
        <v>37.840000000000003</v>
      </c>
      <c r="K458" s="24" t="s">
        <v>475</v>
      </c>
      <c r="L458" s="25">
        <f t="shared" ref="L458:L461" si="32">+J458</f>
        <v>37.840000000000003</v>
      </c>
    </row>
    <row r="459" spans="1:12">
      <c r="A459" s="27">
        <v>26</v>
      </c>
      <c r="B459" s="45">
        <v>200943628</v>
      </c>
      <c r="C459" s="56" t="s">
        <v>346</v>
      </c>
      <c r="D459" s="24">
        <v>3.88</v>
      </c>
      <c r="E459" s="24">
        <v>4.5999999999999996</v>
      </c>
      <c r="F459" s="24">
        <v>2.1</v>
      </c>
      <c r="G459" s="24">
        <v>9</v>
      </c>
      <c r="H459" s="24">
        <v>3.12</v>
      </c>
      <c r="I459" s="24">
        <v>16</v>
      </c>
      <c r="J459" s="24">
        <f t="shared" si="28"/>
        <v>38.700000000000003</v>
      </c>
      <c r="K459" s="24" t="s">
        <v>475</v>
      </c>
      <c r="L459" s="25">
        <f t="shared" si="32"/>
        <v>38.700000000000003</v>
      </c>
    </row>
    <row r="460" spans="1:12">
      <c r="A460" s="27">
        <v>27</v>
      </c>
      <c r="B460" s="45">
        <v>200943630</v>
      </c>
      <c r="C460" s="56" t="s">
        <v>347</v>
      </c>
      <c r="D460" s="24">
        <v>2.4700000000000002</v>
      </c>
      <c r="E460" s="24">
        <v>5.2</v>
      </c>
      <c r="F460" s="24">
        <v>0.75</v>
      </c>
      <c r="G460" s="24">
        <v>7.8</v>
      </c>
      <c r="H460" s="24">
        <v>0</v>
      </c>
      <c r="I460" s="24">
        <v>16</v>
      </c>
      <c r="J460" s="24">
        <f t="shared" si="28"/>
        <v>32.22</v>
      </c>
      <c r="K460" s="24" t="s">
        <v>475</v>
      </c>
      <c r="L460" s="25">
        <f t="shared" si="32"/>
        <v>32.22</v>
      </c>
    </row>
    <row r="461" spans="1:12">
      <c r="A461" s="27">
        <v>28</v>
      </c>
      <c r="B461" s="45">
        <v>200943634</v>
      </c>
      <c r="C461" s="56" t="s">
        <v>348</v>
      </c>
      <c r="D461" s="24">
        <v>2.12</v>
      </c>
      <c r="E461" s="24">
        <v>4.2</v>
      </c>
      <c r="F461" s="24">
        <v>1.95</v>
      </c>
      <c r="G461" s="24">
        <v>6</v>
      </c>
      <c r="H461" s="24">
        <v>0</v>
      </c>
      <c r="I461" s="24">
        <v>16</v>
      </c>
      <c r="J461" s="24">
        <f t="shared" si="28"/>
        <v>30.27</v>
      </c>
      <c r="K461" s="24" t="s">
        <v>475</v>
      </c>
      <c r="L461" s="25">
        <f t="shared" si="32"/>
        <v>30.27</v>
      </c>
    </row>
    <row r="462" spans="1:12">
      <c r="A462" s="27">
        <v>29</v>
      </c>
      <c r="B462" s="45">
        <v>200943637</v>
      </c>
      <c r="C462" s="56" t="s">
        <v>349</v>
      </c>
      <c r="D462" s="24">
        <v>7.41</v>
      </c>
      <c r="E462" s="24">
        <v>4.8</v>
      </c>
      <c r="F462" s="24">
        <v>5.0999999999999996</v>
      </c>
      <c r="G462" s="24">
        <v>10.8</v>
      </c>
      <c r="H462" s="24">
        <v>5.04</v>
      </c>
      <c r="I462" s="24">
        <v>16</v>
      </c>
      <c r="J462" s="24">
        <f t="shared" si="28"/>
        <v>49.149999999999991</v>
      </c>
      <c r="K462" s="24">
        <v>6.4</v>
      </c>
      <c r="L462" s="25">
        <f t="shared" si="30"/>
        <v>55.54999999999999</v>
      </c>
    </row>
    <row r="463" spans="1:12">
      <c r="A463" s="27">
        <v>30</v>
      </c>
      <c r="B463" s="45">
        <v>200943640</v>
      </c>
      <c r="C463" s="56" t="s">
        <v>350</v>
      </c>
      <c r="D463" s="24">
        <v>1.76</v>
      </c>
      <c r="E463" s="24">
        <v>4.5999999999999996</v>
      </c>
      <c r="F463" s="24">
        <v>2.85</v>
      </c>
      <c r="G463" s="24">
        <v>9</v>
      </c>
      <c r="H463" s="24">
        <v>4.32</v>
      </c>
      <c r="I463" s="24">
        <v>16</v>
      </c>
      <c r="J463" s="24">
        <f t="shared" si="28"/>
        <v>38.53</v>
      </c>
      <c r="K463" s="24" t="s">
        <v>475</v>
      </c>
      <c r="L463" s="25">
        <f>+J463</f>
        <v>38.53</v>
      </c>
    </row>
    <row r="464" spans="1:12">
      <c r="A464" s="27">
        <v>31</v>
      </c>
      <c r="B464" s="45">
        <v>200943641</v>
      </c>
      <c r="C464" s="56" t="s">
        <v>351</v>
      </c>
      <c r="D464" s="24">
        <v>0.35289999999999999</v>
      </c>
      <c r="E464" s="24">
        <v>0</v>
      </c>
      <c r="F464" s="24">
        <v>0</v>
      </c>
      <c r="G464" s="24">
        <v>0</v>
      </c>
      <c r="H464" s="24">
        <v>0</v>
      </c>
      <c r="I464" s="24">
        <v>16</v>
      </c>
      <c r="J464" s="24">
        <f t="shared" si="28"/>
        <v>16.352899999999998</v>
      </c>
      <c r="K464" s="24" t="s">
        <v>475</v>
      </c>
      <c r="L464" s="25">
        <f t="shared" ref="L464:L465" si="33">+J464</f>
        <v>16.352899999999998</v>
      </c>
    </row>
    <row r="465" spans="1:12">
      <c r="A465" s="27">
        <v>32</v>
      </c>
      <c r="B465" s="45">
        <v>200943691</v>
      </c>
      <c r="C465" s="56" t="s">
        <v>352</v>
      </c>
      <c r="D465" s="24">
        <v>2.65</v>
      </c>
      <c r="E465" s="24">
        <v>4</v>
      </c>
      <c r="F465" s="24">
        <v>0</v>
      </c>
      <c r="G465" s="24">
        <v>7.8</v>
      </c>
      <c r="H465" s="24">
        <v>0</v>
      </c>
      <c r="I465" s="24">
        <v>16</v>
      </c>
      <c r="J465" s="24">
        <f t="shared" si="28"/>
        <v>30.45</v>
      </c>
      <c r="K465" s="24" t="s">
        <v>475</v>
      </c>
      <c r="L465" s="25">
        <f t="shared" si="33"/>
        <v>30.45</v>
      </c>
    </row>
    <row r="466" spans="1:12">
      <c r="A466" s="27">
        <v>33</v>
      </c>
      <c r="B466" s="45">
        <v>200943700</v>
      </c>
      <c r="C466" s="56" t="s">
        <v>353</v>
      </c>
      <c r="D466" s="24">
        <v>4.9400000000000004</v>
      </c>
      <c r="E466" s="24">
        <v>4.8</v>
      </c>
      <c r="F466" s="24">
        <v>3.45</v>
      </c>
      <c r="G466" s="24">
        <v>11.4</v>
      </c>
      <c r="H466" s="24">
        <v>5.04</v>
      </c>
      <c r="I466" s="24">
        <v>16</v>
      </c>
      <c r="J466" s="24">
        <f t="shared" si="28"/>
        <v>45.629999999999995</v>
      </c>
      <c r="K466" s="24">
        <v>12</v>
      </c>
      <c r="L466" s="25">
        <f t="shared" si="30"/>
        <v>57.629999999999995</v>
      </c>
    </row>
    <row r="467" spans="1:12">
      <c r="A467" s="27">
        <v>34</v>
      </c>
      <c r="B467" s="45">
        <v>200943737</v>
      </c>
      <c r="C467" s="56" t="s">
        <v>436</v>
      </c>
      <c r="D467" s="24">
        <v>1.94</v>
      </c>
      <c r="E467" s="24">
        <v>0</v>
      </c>
      <c r="F467" s="24">
        <v>0</v>
      </c>
      <c r="G467" s="24">
        <v>0</v>
      </c>
      <c r="H467" s="24">
        <v>0</v>
      </c>
      <c r="I467" s="24">
        <v>16</v>
      </c>
      <c r="J467" s="24">
        <f t="shared" si="28"/>
        <v>17.940000000000001</v>
      </c>
      <c r="K467" s="24" t="s">
        <v>475</v>
      </c>
      <c r="L467" s="25">
        <f>+J467</f>
        <v>17.940000000000001</v>
      </c>
    </row>
    <row r="468" spans="1:12">
      <c r="A468" s="27">
        <v>35</v>
      </c>
      <c r="B468" s="45">
        <v>200943793</v>
      </c>
      <c r="C468" s="56" t="s">
        <v>354</v>
      </c>
      <c r="D468" s="24">
        <v>3.35</v>
      </c>
      <c r="E468" s="24">
        <v>3.2</v>
      </c>
      <c r="F468" s="24">
        <v>3.45</v>
      </c>
      <c r="G468" s="24">
        <v>8.4</v>
      </c>
      <c r="H468" s="24">
        <v>4.32</v>
      </c>
      <c r="I468" s="24">
        <v>16</v>
      </c>
      <c r="J468" s="24">
        <f t="shared" si="28"/>
        <v>38.720000000000006</v>
      </c>
      <c r="K468" s="24" t="s">
        <v>475</v>
      </c>
      <c r="L468" s="25">
        <f t="shared" ref="L468:L469" si="34">+J468</f>
        <v>38.720000000000006</v>
      </c>
    </row>
    <row r="469" spans="1:12">
      <c r="A469" s="27">
        <v>36</v>
      </c>
      <c r="B469" s="45">
        <v>200943840</v>
      </c>
      <c r="C469" s="56" t="s">
        <v>355</v>
      </c>
      <c r="D469" s="24">
        <v>3.88</v>
      </c>
      <c r="E469" s="24">
        <v>4</v>
      </c>
      <c r="F469" s="24">
        <v>1.65</v>
      </c>
      <c r="G469" s="24">
        <v>7.2</v>
      </c>
      <c r="H469" s="24">
        <v>0</v>
      </c>
      <c r="I469" s="24">
        <v>16</v>
      </c>
      <c r="J469" s="24">
        <f t="shared" si="28"/>
        <v>32.729999999999997</v>
      </c>
      <c r="K469" s="24" t="s">
        <v>475</v>
      </c>
      <c r="L469" s="25">
        <f t="shared" si="34"/>
        <v>32.729999999999997</v>
      </c>
    </row>
    <row r="470" spans="1:12">
      <c r="A470" s="27">
        <v>37</v>
      </c>
      <c r="B470" s="45">
        <v>200944056</v>
      </c>
      <c r="C470" s="56" t="s">
        <v>356</v>
      </c>
      <c r="D470" s="24">
        <v>5.12</v>
      </c>
      <c r="E470" s="24">
        <v>3.2</v>
      </c>
      <c r="F470" s="24">
        <v>3.45</v>
      </c>
      <c r="G470" s="24">
        <v>6.6</v>
      </c>
      <c r="H470" s="24">
        <v>6.63</v>
      </c>
      <c r="I470" s="24">
        <v>16</v>
      </c>
      <c r="J470" s="24">
        <f t="shared" si="28"/>
        <v>41</v>
      </c>
      <c r="K470" s="24">
        <v>12</v>
      </c>
      <c r="L470" s="25">
        <f>+K470+J470</f>
        <v>53</v>
      </c>
    </row>
    <row r="471" spans="1:12">
      <c r="A471" s="27">
        <v>38</v>
      </c>
      <c r="B471" s="45">
        <v>200944097</v>
      </c>
      <c r="C471" s="56" t="s">
        <v>357</v>
      </c>
      <c r="D471" s="24">
        <v>4.2300000000000004</v>
      </c>
      <c r="E471" s="24">
        <v>5</v>
      </c>
      <c r="F471" s="24">
        <v>4.05</v>
      </c>
      <c r="G471" s="24">
        <v>9.6</v>
      </c>
      <c r="H471" s="24">
        <v>5.52</v>
      </c>
      <c r="I471" s="24">
        <v>16</v>
      </c>
      <c r="J471" s="24">
        <f t="shared" si="28"/>
        <v>44.399999999999991</v>
      </c>
      <c r="K471" s="24">
        <v>10.4</v>
      </c>
      <c r="L471" s="25">
        <f t="shared" si="30"/>
        <v>54.79999999999999</v>
      </c>
    </row>
    <row r="472" spans="1:12">
      <c r="A472" s="27">
        <v>39</v>
      </c>
      <c r="B472" s="45">
        <v>200944241</v>
      </c>
      <c r="C472" s="56" t="s">
        <v>358</v>
      </c>
      <c r="D472" s="24">
        <v>4.9400000000000004</v>
      </c>
      <c r="E472" s="24">
        <v>4.4000000000000004</v>
      </c>
      <c r="F472" s="24">
        <v>2.5499999999999998</v>
      </c>
      <c r="G472" s="24">
        <v>6.6</v>
      </c>
      <c r="H472" s="24">
        <v>4.08</v>
      </c>
      <c r="I472" s="24">
        <v>16</v>
      </c>
      <c r="J472" s="24">
        <f t="shared" si="28"/>
        <v>38.57</v>
      </c>
      <c r="K472" s="24" t="s">
        <v>475</v>
      </c>
      <c r="L472" s="25">
        <f>+J472</f>
        <v>38.57</v>
      </c>
    </row>
    <row r="473" spans="1:12">
      <c r="A473" s="27">
        <v>40</v>
      </c>
      <c r="B473" s="45">
        <v>200944435</v>
      </c>
      <c r="C473" s="60" t="s">
        <v>359</v>
      </c>
      <c r="D473" s="24">
        <v>3.35</v>
      </c>
      <c r="E473" s="24">
        <v>3</v>
      </c>
      <c r="F473" s="24">
        <v>0</v>
      </c>
      <c r="G473" s="24">
        <v>0</v>
      </c>
      <c r="H473" s="24">
        <v>0</v>
      </c>
      <c r="I473" s="24">
        <v>16</v>
      </c>
      <c r="J473" s="24">
        <f t="shared" si="28"/>
        <v>22.35</v>
      </c>
      <c r="K473" s="24" t="s">
        <v>475</v>
      </c>
      <c r="L473" s="25">
        <f t="shared" ref="L473:L476" si="35">+J473</f>
        <v>22.35</v>
      </c>
    </row>
    <row r="474" spans="1:12">
      <c r="A474" s="27">
        <v>41</v>
      </c>
      <c r="B474" s="45">
        <v>200944452</v>
      </c>
      <c r="C474" s="56" t="s">
        <v>360</v>
      </c>
      <c r="D474" s="24">
        <v>2.12</v>
      </c>
      <c r="E474" s="24">
        <v>3.8</v>
      </c>
      <c r="F474" s="24">
        <v>2.25</v>
      </c>
      <c r="G474" s="24">
        <v>9.6</v>
      </c>
      <c r="H474" s="24">
        <v>0</v>
      </c>
      <c r="I474" s="24">
        <v>16</v>
      </c>
      <c r="J474" s="24">
        <f t="shared" si="28"/>
        <v>33.770000000000003</v>
      </c>
      <c r="K474" s="24" t="s">
        <v>475</v>
      </c>
      <c r="L474" s="25">
        <f t="shared" si="35"/>
        <v>33.770000000000003</v>
      </c>
    </row>
    <row r="475" spans="1:12">
      <c r="A475" s="27">
        <v>42</v>
      </c>
      <c r="B475" s="45">
        <v>200944938</v>
      </c>
      <c r="C475" s="60" t="s">
        <v>361</v>
      </c>
      <c r="D475" s="24">
        <v>3.53</v>
      </c>
      <c r="E475" s="24">
        <v>2</v>
      </c>
      <c r="F475" s="24">
        <v>0.3</v>
      </c>
      <c r="G475" s="24">
        <v>0</v>
      </c>
      <c r="H475" s="24">
        <v>0</v>
      </c>
      <c r="I475" s="24">
        <v>16</v>
      </c>
      <c r="J475" s="24">
        <f t="shared" si="28"/>
        <v>21.830000000000002</v>
      </c>
      <c r="K475" s="24" t="s">
        <v>475</v>
      </c>
      <c r="L475" s="25">
        <f t="shared" si="35"/>
        <v>21.830000000000002</v>
      </c>
    </row>
    <row r="476" spans="1:12">
      <c r="A476" s="27">
        <v>43</v>
      </c>
      <c r="B476" s="45">
        <v>200944985</v>
      </c>
      <c r="C476" s="60" t="s">
        <v>362</v>
      </c>
      <c r="D476" s="24">
        <v>3.18</v>
      </c>
      <c r="E476" s="24">
        <v>4</v>
      </c>
      <c r="F476" s="24">
        <v>0.3</v>
      </c>
      <c r="G476" s="24">
        <v>7.8</v>
      </c>
      <c r="H476" s="24">
        <v>3.36</v>
      </c>
      <c r="I476" s="24">
        <v>16</v>
      </c>
      <c r="J476" s="24">
        <f t="shared" si="28"/>
        <v>34.64</v>
      </c>
      <c r="K476" s="24" t="s">
        <v>475</v>
      </c>
      <c r="L476" s="25">
        <f t="shared" si="35"/>
        <v>34.64</v>
      </c>
    </row>
    <row r="477" spans="1:12">
      <c r="A477" s="27">
        <v>44</v>
      </c>
      <c r="B477" s="45">
        <v>200946113</v>
      </c>
      <c r="C477" s="56" t="s">
        <v>363</v>
      </c>
      <c r="D477" s="24">
        <v>3.88</v>
      </c>
      <c r="E477" s="24">
        <v>3.8</v>
      </c>
      <c r="F477" s="24">
        <v>5.85</v>
      </c>
      <c r="G477" s="24">
        <v>8.4</v>
      </c>
      <c r="H477" s="24">
        <v>5.52</v>
      </c>
      <c r="I477" s="24">
        <v>16</v>
      </c>
      <c r="J477" s="24">
        <f t="shared" si="28"/>
        <v>43.45</v>
      </c>
      <c r="K477" s="24">
        <v>12.8</v>
      </c>
      <c r="L477" s="25">
        <f t="shared" si="30"/>
        <v>56.25</v>
      </c>
    </row>
    <row r="478" spans="1:12">
      <c r="A478" s="29"/>
      <c r="B478" s="29"/>
      <c r="C478" s="30"/>
      <c r="D478" s="31"/>
      <c r="E478" s="31"/>
      <c r="F478" s="31"/>
      <c r="G478" s="31"/>
      <c r="H478" s="31"/>
      <c r="I478" s="31"/>
      <c r="J478" s="31"/>
      <c r="K478" s="31"/>
      <c r="L478" s="32"/>
    </row>
    <row r="479" spans="1:12">
      <c r="A479" s="29"/>
      <c r="B479" s="29"/>
      <c r="C479" s="30"/>
      <c r="D479" s="31"/>
      <c r="E479" s="31"/>
      <c r="F479" s="31"/>
      <c r="G479" s="31"/>
      <c r="H479" s="31"/>
      <c r="I479" s="31"/>
      <c r="J479" s="31"/>
      <c r="K479" s="31"/>
      <c r="L479" s="32"/>
    </row>
    <row r="480" spans="1:12" ht="17.25" thickBot="1">
      <c r="A480" s="33"/>
      <c r="B480" s="33"/>
      <c r="C480" s="34"/>
      <c r="D480" s="31"/>
      <c r="E480" s="31"/>
      <c r="F480" s="31"/>
      <c r="G480" s="31"/>
      <c r="H480" s="35"/>
      <c r="I480" s="35"/>
      <c r="J480" s="35"/>
      <c r="K480" s="9"/>
      <c r="L480" s="32"/>
    </row>
    <row r="481" spans="4:12">
      <c r="H481" s="100" t="s">
        <v>464</v>
      </c>
      <c r="I481" s="100"/>
      <c r="J481" s="100"/>
      <c r="L481" s="1"/>
    </row>
    <row r="482" spans="4:12">
      <c r="D482" s="36"/>
      <c r="H482" s="100" t="s">
        <v>430</v>
      </c>
      <c r="I482" s="100"/>
      <c r="J482" s="100"/>
      <c r="L482" s="1"/>
    </row>
    <row r="483" spans="4:12">
      <c r="D483" s="36"/>
      <c r="H483" s="100" t="s">
        <v>465</v>
      </c>
      <c r="I483" s="100"/>
      <c r="J483" s="100"/>
      <c r="L483" s="1"/>
    </row>
  </sheetData>
  <mergeCells count="18">
    <mergeCell ref="H153:J153"/>
    <mergeCell ref="H236:J236"/>
    <mergeCell ref="H237:J237"/>
    <mergeCell ref="H238:J238"/>
    <mergeCell ref="H61:J61"/>
    <mergeCell ref="H62:J62"/>
    <mergeCell ref="H63:J63"/>
    <mergeCell ref="H151:J151"/>
    <mergeCell ref="H152:J152"/>
    <mergeCell ref="H398:J398"/>
    <mergeCell ref="H481:J481"/>
    <mergeCell ref="H482:J482"/>
    <mergeCell ref="H483:J483"/>
    <mergeCell ref="H321:J321"/>
    <mergeCell ref="H322:J322"/>
    <mergeCell ref="H323:J323"/>
    <mergeCell ref="H396:J396"/>
    <mergeCell ref="H397:J397"/>
  </mergeCells>
  <pageMargins left="0.28999999999999998" right="0.28999999999999998" top="0.48" bottom="0.52" header="0.31496062992125984" footer="0.31496062992125984"/>
  <pageSetup scale="80" orientation="landscape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99"/>
  </sheetPr>
  <dimension ref="A1:L455"/>
  <sheetViews>
    <sheetView workbookViewId="0">
      <selection activeCell="F293" sqref="F293"/>
    </sheetView>
  </sheetViews>
  <sheetFormatPr baseColWidth="10" defaultRowHeight="16.5"/>
  <cols>
    <col min="1" max="1" width="4.140625" style="2" customWidth="1"/>
    <col min="2" max="2" width="10" style="2" bestFit="1" customWidth="1"/>
    <col min="3" max="3" width="35.5703125" style="2" bestFit="1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13.42578125" style="2" customWidth="1"/>
    <col min="10" max="10" width="12.85546875" style="2" bestFit="1" customWidth="1"/>
    <col min="11" max="11" width="14.42578125" style="2" bestFit="1" customWidth="1"/>
    <col min="12" max="12" width="9.28515625" style="2" bestFit="1" customWidth="1"/>
    <col min="13" max="16384" width="11.42578125" style="2"/>
  </cols>
  <sheetData>
    <row r="1" spans="1:12" ht="17.25" thickBot="1">
      <c r="A1" s="1" t="s">
        <v>0</v>
      </c>
      <c r="I1" s="3"/>
    </row>
    <row r="2" spans="1:12">
      <c r="A2" s="1" t="s">
        <v>1</v>
      </c>
      <c r="F2" s="4"/>
      <c r="G2" s="5"/>
      <c r="H2" s="6"/>
      <c r="I2" s="7"/>
    </row>
    <row r="3" spans="1:12">
      <c r="A3" s="8" t="s">
        <v>2</v>
      </c>
      <c r="B3" s="9"/>
      <c r="E3" s="7"/>
      <c r="F3" s="10"/>
      <c r="G3" s="11"/>
      <c r="H3" s="12"/>
      <c r="I3" s="7"/>
    </row>
    <row r="4" spans="1:12" ht="17.25" thickBot="1">
      <c r="A4" s="13" t="s">
        <v>3</v>
      </c>
      <c r="B4" s="9"/>
      <c r="E4" s="7"/>
      <c r="F4" s="10"/>
      <c r="G4" s="11"/>
      <c r="H4" s="12"/>
      <c r="I4" s="7"/>
    </row>
    <row r="5" spans="1:12" ht="17.25" thickBot="1">
      <c r="A5" s="14" t="s">
        <v>22</v>
      </c>
      <c r="B5" s="15"/>
      <c r="C5" s="16"/>
      <c r="E5" s="7"/>
      <c r="F5" s="17"/>
      <c r="G5" s="18"/>
      <c r="H5" s="19"/>
      <c r="I5" s="7"/>
    </row>
    <row r="6" spans="1:12">
      <c r="A6" s="8"/>
      <c r="B6" s="9"/>
      <c r="E6" s="7"/>
      <c r="I6" s="3"/>
    </row>
    <row r="7" spans="1:12">
      <c r="A7" s="1" t="s">
        <v>91</v>
      </c>
      <c r="B7" s="9"/>
      <c r="C7" s="20" t="s">
        <v>92</v>
      </c>
      <c r="E7" s="7"/>
      <c r="I7" s="3"/>
    </row>
    <row r="8" spans="1:12">
      <c r="A8" s="1" t="s">
        <v>4</v>
      </c>
      <c r="C8" s="20" t="s">
        <v>468</v>
      </c>
      <c r="I8" s="3"/>
    </row>
    <row r="9" spans="1:12">
      <c r="A9" s="1" t="s">
        <v>5</v>
      </c>
      <c r="C9" s="20" t="s">
        <v>469</v>
      </c>
    </row>
    <row r="10" spans="1:12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2">
      <c r="A11" s="1"/>
      <c r="C11" s="22" t="s">
        <v>6</v>
      </c>
      <c r="D11" s="22" t="s">
        <v>93</v>
      </c>
      <c r="E11" s="22" t="s">
        <v>93</v>
      </c>
      <c r="F11" s="22" t="s">
        <v>93</v>
      </c>
      <c r="G11" s="22" t="s">
        <v>93</v>
      </c>
      <c r="H11" s="22" t="s">
        <v>93</v>
      </c>
      <c r="I11" s="22" t="s">
        <v>94</v>
      </c>
      <c r="J11" s="22" t="s">
        <v>8</v>
      </c>
      <c r="K11" s="22" t="s">
        <v>7</v>
      </c>
      <c r="L11" s="22" t="s">
        <v>9</v>
      </c>
    </row>
    <row r="12" spans="1:12">
      <c r="A12" s="22" t="s">
        <v>10</v>
      </c>
      <c r="B12" s="22" t="s">
        <v>11</v>
      </c>
      <c r="C12" s="22" t="s">
        <v>12</v>
      </c>
      <c r="D12" s="22" t="s">
        <v>13</v>
      </c>
      <c r="E12" s="22" t="s">
        <v>14</v>
      </c>
      <c r="F12" s="22" t="s">
        <v>15</v>
      </c>
      <c r="G12" s="22" t="s">
        <v>16</v>
      </c>
      <c r="H12" s="22" t="s">
        <v>17</v>
      </c>
      <c r="I12" s="22" t="s">
        <v>95</v>
      </c>
      <c r="J12" s="22" t="s">
        <v>18</v>
      </c>
      <c r="K12" s="22" t="s">
        <v>19</v>
      </c>
      <c r="L12" s="22" t="s">
        <v>20</v>
      </c>
    </row>
    <row r="13" spans="1:12">
      <c r="A13" s="23">
        <v>1</v>
      </c>
      <c r="B13" s="57">
        <v>200742316</v>
      </c>
      <c r="C13" s="56" t="s">
        <v>28</v>
      </c>
      <c r="D13" s="24">
        <v>1.8</v>
      </c>
      <c r="E13" s="24">
        <v>1.1399999999999999</v>
      </c>
      <c r="F13" s="24">
        <v>3.41</v>
      </c>
      <c r="G13" s="24">
        <v>6.17</v>
      </c>
      <c r="H13" s="24">
        <v>0</v>
      </c>
      <c r="I13" s="24">
        <v>4.5</v>
      </c>
      <c r="J13" s="24">
        <f>+I13+H13+G13+F13+E13+D13</f>
        <v>17.02</v>
      </c>
      <c r="K13" s="24" t="s">
        <v>475</v>
      </c>
      <c r="L13" s="25">
        <f>+J13</f>
        <v>17.02</v>
      </c>
    </row>
    <row r="14" spans="1:12">
      <c r="A14" s="26">
        <f>1+A13</f>
        <v>2</v>
      </c>
      <c r="B14" s="45">
        <v>200840120</v>
      </c>
      <c r="C14" s="56" t="s">
        <v>34</v>
      </c>
      <c r="D14" s="24">
        <v>3</v>
      </c>
      <c r="E14" s="24">
        <v>8.0299999999999994</v>
      </c>
      <c r="F14" s="24">
        <v>7.16</v>
      </c>
      <c r="G14" s="24">
        <v>6.49</v>
      </c>
      <c r="H14" s="24">
        <v>7.12</v>
      </c>
      <c r="I14" s="24">
        <v>5</v>
      </c>
      <c r="J14" s="24">
        <f t="shared" ref="J14:J60" si="0">+I14+H14+G14+F14+E14+D14</f>
        <v>36.799999999999997</v>
      </c>
      <c r="K14" s="24" t="s">
        <v>475</v>
      </c>
      <c r="L14" s="25">
        <f t="shared" ref="L14:L20" si="1">+J14</f>
        <v>36.799999999999997</v>
      </c>
    </row>
    <row r="15" spans="1:12">
      <c r="A15" s="26">
        <f t="shared" ref="A15:A60" si="2">1+A14</f>
        <v>3</v>
      </c>
      <c r="B15" s="45">
        <v>200840126</v>
      </c>
      <c r="C15" s="56" t="s">
        <v>35</v>
      </c>
      <c r="D15" s="24">
        <v>3.3</v>
      </c>
      <c r="E15" s="24">
        <v>4.3899999999999997</v>
      </c>
      <c r="F15" s="24">
        <v>7.61</v>
      </c>
      <c r="G15" s="24">
        <v>6.17</v>
      </c>
      <c r="H15" s="24">
        <v>15</v>
      </c>
      <c r="I15" s="24">
        <v>5</v>
      </c>
      <c r="J15" s="24">
        <f t="shared" si="0"/>
        <v>41.47</v>
      </c>
      <c r="K15" s="24">
        <v>5.54</v>
      </c>
      <c r="L15" s="25">
        <f>+K15+J15</f>
        <v>47.01</v>
      </c>
    </row>
    <row r="16" spans="1:12">
      <c r="A16" s="26">
        <f t="shared" si="2"/>
        <v>4</v>
      </c>
      <c r="B16" s="45">
        <v>200840188</v>
      </c>
      <c r="C16" s="56" t="s">
        <v>40</v>
      </c>
      <c r="D16" s="24">
        <v>3.9</v>
      </c>
      <c r="E16" s="24">
        <v>5.38</v>
      </c>
      <c r="F16" s="24">
        <v>5.1100000000000003</v>
      </c>
      <c r="G16" s="24">
        <v>4.99</v>
      </c>
      <c r="H16" s="24">
        <v>0</v>
      </c>
      <c r="I16" s="24">
        <v>5</v>
      </c>
      <c r="J16" s="24">
        <f t="shared" si="0"/>
        <v>24.38</v>
      </c>
      <c r="K16" s="24" t="s">
        <v>475</v>
      </c>
      <c r="L16" s="25">
        <f t="shared" si="1"/>
        <v>24.38</v>
      </c>
    </row>
    <row r="17" spans="1:12">
      <c r="A17" s="26">
        <f t="shared" si="2"/>
        <v>5</v>
      </c>
      <c r="B17" s="57">
        <v>200840211</v>
      </c>
      <c r="C17" s="56" t="s">
        <v>42</v>
      </c>
      <c r="D17" s="24">
        <v>2.1</v>
      </c>
      <c r="E17" s="24">
        <v>2.39</v>
      </c>
      <c r="F17" s="24">
        <v>5.1100000000000003</v>
      </c>
      <c r="G17" s="24">
        <v>4.99</v>
      </c>
      <c r="H17" s="24">
        <v>2.62</v>
      </c>
      <c r="I17" s="24">
        <v>5</v>
      </c>
      <c r="J17" s="24">
        <f t="shared" si="0"/>
        <v>22.21</v>
      </c>
      <c r="K17" s="24" t="s">
        <v>475</v>
      </c>
      <c r="L17" s="25">
        <f t="shared" si="1"/>
        <v>22.21</v>
      </c>
    </row>
    <row r="18" spans="1:12">
      <c r="A18" s="26">
        <f t="shared" si="2"/>
        <v>6</v>
      </c>
      <c r="B18" s="45">
        <v>200842032</v>
      </c>
      <c r="C18" s="60" t="s">
        <v>44</v>
      </c>
      <c r="D18" s="24">
        <v>4.2</v>
      </c>
      <c r="E18" s="24">
        <v>3.53</v>
      </c>
      <c r="F18" s="24">
        <v>5.45</v>
      </c>
      <c r="G18" s="24">
        <v>3.67</v>
      </c>
      <c r="H18" s="24">
        <v>0</v>
      </c>
      <c r="I18" s="24">
        <v>5</v>
      </c>
      <c r="J18" s="24">
        <f t="shared" si="0"/>
        <v>21.85</v>
      </c>
      <c r="K18" s="24" t="s">
        <v>475</v>
      </c>
      <c r="L18" s="25">
        <f t="shared" si="1"/>
        <v>21.85</v>
      </c>
    </row>
    <row r="19" spans="1:12">
      <c r="A19" s="26">
        <f t="shared" si="2"/>
        <v>7</v>
      </c>
      <c r="B19" s="57">
        <v>200842061</v>
      </c>
      <c r="C19" s="56" t="s">
        <v>48</v>
      </c>
      <c r="D19" s="24">
        <v>0.6</v>
      </c>
      <c r="E19" s="24">
        <v>1.43</v>
      </c>
      <c r="F19" s="24">
        <v>4.09</v>
      </c>
      <c r="G19" s="24">
        <v>0.33</v>
      </c>
      <c r="H19" s="24">
        <v>1</v>
      </c>
      <c r="I19" s="24">
        <v>4</v>
      </c>
      <c r="J19" s="24">
        <f t="shared" si="0"/>
        <v>11.45</v>
      </c>
      <c r="K19" s="24" t="s">
        <v>475</v>
      </c>
      <c r="L19" s="25">
        <f t="shared" si="1"/>
        <v>11.45</v>
      </c>
    </row>
    <row r="20" spans="1:12">
      <c r="A20" s="26">
        <f t="shared" si="2"/>
        <v>8</v>
      </c>
      <c r="B20" s="57">
        <v>200842077</v>
      </c>
      <c r="C20" s="56" t="s">
        <v>49</v>
      </c>
      <c r="D20" s="24">
        <f>+E20</f>
        <v>5.7</v>
      </c>
      <c r="E20" s="24">
        <v>5.7</v>
      </c>
      <c r="F20" s="24">
        <v>7.5</v>
      </c>
      <c r="G20" s="24">
        <f>+H20</f>
        <v>0</v>
      </c>
      <c r="H20" s="24">
        <v>0</v>
      </c>
      <c r="I20" s="24">
        <v>5</v>
      </c>
      <c r="J20" s="24">
        <f t="shared" si="0"/>
        <v>23.9</v>
      </c>
      <c r="K20" s="24" t="s">
        <v>475</v>
      </c>
      <c r="L20" s="25">
        <f t="shared" si="1"/>
        <v>23.9</v>
      </c>
    </row>
    <row r="21" spans="1:12">
      <c r="A21" s="26">
        <f t="shared" si="2"/>
        <v>9</v>
      </c>
      <c r="B21" s="45">
        <v>200842227</v>
      </c>
      <c r="C21" s="56" t="s">
        <v>51</v>
      </c>
      <c r="D21" s="24">
        <v>3.9</v>
      </c>
      <c r="E21" s="24">
        <v>9.4499999999999993</v>
      </c>
      <c r="F21" s="24">
        <v>8.18</v>
      </c>
      <c r="G21" s="24">
        <v>6.67</v>
      </c>
      <c r="H21" s="24">
        <v>8.25</v>
      </c>
      <c r="I21" s="24">
        <v>5</v>
      </c>
      <c r="J21" s="24">
        <f t="shared" si="0"/>
        <v>41.449999999999996</v>
      </c>
      <c r="K21" s="24">
        <v>11.85</v>
      </c>
      <c r="L21" s="25">
        <f t="shared" ref="L21:L59" si="3">+K21+J21</f>
        <v>53.3</v>
      </c>
    </row>
    <row r="22" spans="1:12">
      <c r="A22" s="26">
        <f t="shared" si="2"/>
        <v>10</v>
      </c>
      <c r="B22" s="45">
        <v>200842253</v>
      </c>
      <c r="C22" s="56" t="s">
        <v>52</v>
      </c>
      <c r="D22" s="24">
        <v>3</v>
      </c>
      <c r="E22" s="24">
        <v>7.81</v>
      </c>
      <c r="F22" s="24">
        <f>G22</f>
        <v>5.99</v>
      </c>
      <c r="G22" s="24">
        <v>5.99</v>
      </c>
      <c r="H22" s="24">
        <v>12.5</v>
      </c>
      <c r="I22" s="24">
        <v>5</v>
      </c>
      <c r="J22" s="24">
        <f t="shared" si="0"/>
        <v>40.290000000000006</v>
      </c>
      <c r="K22" s="24" t="s">
        <v>475</v>
      </c>
      <c r="L22" s="25">
        <f>+J22</f>
        <v>40.290000000000006</v>
      </c>
    </row>
    <row r="23" spans="1:12">
      <c r="A23" s="26">
        <f t="shared" si="2"/>
        <v>11</v>
      </c>
      <c r="B23" s="45">
        <v>200940284</v>
      </c>
      <c r="C23" s="60" t="s">
        <v>53</v>
      </c>
      <c r="D23" s="24">
        <v>2.1</v>
      </c>
      <c r="E23" s="24">
        <v>1.71</v>
      </c>
      <c r="F23" s="24">
        <v>4.7699999999999996</v>
      </c>
      <c r="G23" s="24">
        <v>4.83</v>
      </c>
      <c r="H23" s="24">
        <v>0</v>
      </c>
      <c r="I23" s="24">
        <v>5</v>
      </c>
      <c r="J23" s="24">
        <f t="shared" si="0"/>
        <v>18.41</v>
      </c>
      <c r="K23" s="24" t="s">
        <v>475</v>
      </c>
      <c r="L23" s="25">
        <f t="shared" ref="L23:L29" si="4">+J23</f>
        <v>18.41</v>
      </c>
    </row>
    <row r="24" spans="1:12">
      <c r="A24" s="26">
        <f t="shared" si="2"/>
        <v>12</v>
      </c>
      <c r="B24" s="45">
        <v>200940311</v>
      </c>
      <c r="C24" s="59" t="s">
        <v>54</v>
      </c>
      <c r="D24" s="24">
        <v>2.1</v>
      </c>
      <c r="E24" s="24">
        <v>3.53</v>
      </c>
      <c r="F24" s="24">
        <v>6.82</v>
      </c>
      <c r="G24" s="24">
        <v>0</v>
      </c>
      <c r="H24" s="28">
        <v>0</v>
      </c>
      <c r="I24" s="28">
        <v>5</v>
      </c>
      <c r="J24" s="24">
        <f t="shared" si="0"/>
        <v>17.45</v>
      </c>
      <c r="K24" s="24" t="s">
        <v>475</v>
      </c>
      <c r="L24" s="25">
        <f t="shared" si="4"/>
        <v>17.45</v>
      </c>
    </row>
    <row r="25" spans="1:12">
      <c r="A25" s="26">
        <f t="shared" si="2"/>
        <v>13</v>
      </c>
      <c r="B25" s="45">
        <v>200940313</v>
      </c>
      <c r="C25" s="56" t="s">
        <v>55</v>
      </c>
      <c r="D25" s="24">
        <v>1.5</v>
      </c>
      <c r="E25" s="24">
        <v>1.1399999999999999</v>
      </c>
      <c r="F25" s="24">
        <v>4.43</v>
      </c>
      <c r="G25" s="24">
        <v>0</v>
      </c>
      <c r="H25" s="28">
        <v>0</v>
      </c>
      <c r="I25" s="28">
        <v>0</v>
      </c>
      <c r="J25" s="24">
        <f t="shared" si="0"/>
        <v>7.0699999999999994</v>
      </c>
      <c r="K25" s="24" t="s">
        <v>475</v>
      </c>
      <c r="L25" s="25">
        <f t="shared" si="4"/>
        <v>7.0699999999999994</v>
      </c>
    </row>
    <row r="26" spans="1:12">
      <c r="A26" s="26">
        <f t="shared" si="2"/>
        <v>14</v>
      </c>
      <c r="B26" s="45">
        <v>200940323</v>
      </c>
      <c r="C26" s="56" t="s">
        <v>56</v>
      </c>
      <c r="D26" s="24">
        <v>1.2</v>
      </c>
      <c r="E26" s="24">
        <v>0</v>
      </c>
      <c r="F26" s="24">
        <v>0</v>
      </c>
      <c r="G26" s="24">
        <v>0</v>
      </c>
      <c r="H26" s="28">
        <v>0</v>
      </c>
      <c r="I26" s="28">
        <v>0</v>
      </c>
      <c r="J26" s="24">
        <f t="shared" si="0"/>
        <v>1.2</v>
      </c>
      <c r="K26" s="24" t="s">
        <v>475</v>
      </c>
      <c r="L26" s="25">
        <f t="shared" si="4"/>
        <v>1.2</v>
      </c>
    </row>
    <row r="27" spans="1:12">
      <c r="A27" s="26">
        <f t="shared" si="2"/>
        <v>15</v>
      </c>
      <c r="B27" s="45">
        <v>200940326</v>
      </c>
      <c r="C27" s="56" t="s">
        <v>57</v>
      </c>
      <c r="D27" s="24">
        <v>4.2</v>
      </c>
      <c r="E27" s="24">
        <v>9.4499999999999993</v>
      </c>
      <c r="F27" s="24">
        <v>0</v>
      </c>
      <c r="G27" s="24">
        <v>0</v>
      </c>
      <c r="H27" s="28">
        <v>0</v>
      </c>
      <c r="I27" s="28">
        <v>0</v>
      </c>
      <c r="J27" s="24">
        <f t="shared" si="0"/>
        <v>13.649999999999999</v>
      </c>
      <c r="K27" s="24" t="s">
        <v>475</v>
      </c>
      <c r="L27" s="25">
        <f t="shared" si="4"/>
        <v>13.649999999999999</v>
      </c>
    </row>
    <row r="28" spans="1:12">
      <c r="A28" s="26">
        <f t="shared" si="2"/>
        <v>16</v>
      </c>
      <c r="B28" s="45">
        <v>200940327</v>
      </c>
      <c r="C28" s="56" t="s">
        <v>58</v>
      </c>
      <c r="D28" s="24">
        <v>2.7</v>
      </c>
      <c r="E28" s="24">
        <v>4.5599999999999996</v>
      </c>
      <c r="F28" s="24">
        <v>6.82</v>
      </c>
      <c r="G28" s="24">
        <v>6.33</v>
      </c>
      <c r="H28" s="24">
        <v>0</v>
      </c>
      <c r="I28" s="24">
        <v>5</v>
      </c>
      <c r="J28" s="24">
        <f t="shared" si="0"/>
        <v>25.409999999999997</v>
      </c>
      <c r="K28" s="24" t="s">
        <v>475</v>
      </c>
      <c r="L28" s="25">
        <f t="shared" si="4"/>
        <v>25.409999999999997</v>
      </c>
    </row>
    <row r="29" spans="1:12">
      <c r="A29" s="26">
        <f t="shared" si="2"/>
        <v>17</v>
      </c>
      <c r="B29" s="45">
        <v>200940328</v>
      </c>
      <c r="C29" s="59" t="s">
        <v>59</v>
      </c>
      <c r="D29" s="24">
        <v>6.6</v>
      </c>
      <c r="E29" s="24">
        <v>6.53</v>
      </c>
      <c r="F29" s="24">
        <v>7.16</v>
      </c>
      <c r="G29" s="24">
        <v>5.49</v>
      </c>
      <c r="H29" s="24">
        <v>0</v>
      </c>
      <c r="I29" s="24">
        <v>5</v>
      </c>
      <c r="J29" s="24">
        <f t="shared" si="0"/>
        <v>30.78</v>
      </c>
      <c r="K29" s="24" t="s">
        <v>475</v>
      </c>
      <c r="L29" s="25">
        <f t="shared" si="4"/>
        <v>30.78</v>
      </c>
    </row>
    <row r="30" spans="1:12">
      <c r="A30" s="26">
        <f t="shared" si="2"/>
        <v>18</v>
      </c>
      <c r="B30" s="45">
        <v>200940340</v>
      </c>
      <c r="C30" s="59" t="s">
        <v>60</v>
      </c>
      <c r="D30" s="24">
        <v>3.3</v>
      </c>
      <c r="E30" s="24">
        <v>9.34</v>
      </c>
      <c r="F30" s="24">
        <v>11.25</v>
      </c>
      <c r="G30" s="24">
        <v>10.49</v>
      </c>
      <c r="H30" s="24">
        <v>12.75</v>
      </c>
      <c r="I30" s="24">
        <v>5</v>
      </c>
      <c r="J30" s="24">
        <f t="shared" si="0"/>
        <v>52.129999999999995</v>
      </c>
      <c r="K30" s="24">
        <v>11.54</v>
      </c>
      <c r="L30" s="25">
        <f t="shared" si="3"/>
        <v>63.669999999999995</v>
      </c>
    </row>
    <row r="31" spans="1:12">
      <c r="A31" s="26">
        <f t="shared" si="2"/>
        <v>19</v>
      </c>
      <c r="B31" s="45">
        <v>200940355</v>
      </c>
      <c r="C31" s="59" t="s">
        <v>61</v>
      </c>
      <c r="D31" s="24">
        <v>3</v>
      </c>
      <c r="E31" s="24">
        <v>4.67</v>
      </c>
      <c r="F31" s="24">
        <v>9.1999999999999993</v>
      </c>
      <c r="G31" s="24">
        <f>+H31</f>
        <v>7.75</v>
      </c>
      <c r="H31" s="24">
        <v>7.75</v>
      </c>
      <c r="I31" s="24">
        <v>4.5</v>
      </c>
      <c r="J31" s="24">
        <f t="shared" si="0"/>
        <v>36.869999999999997</v>
      </c>
      <c r="K31" s="24" t="s">
        <v>475</v>
      </c>
      <c r="L31" s="25">
        <f>+J31</f>
        <v>36.869999999999997</v>
      </c>
    </row>
    <row r="32" spans="1:12">
      <c r="A32" s="26">
        <f t="shared" si="2"/>
        <v>20</v>
      </c>
      <c r="B32" s="45">
        <v>200940359</v>
      </c>
      <c r="C32" s="56" t="s">
        <v>62</v>
      </c>
      <c r="D32" s="24">
        <v>0.9</v>
      </c>
      <c r="E32" s="24">
        <v>5.81</v>
      </c>
      <c r="F32" s="24">
        <v>8.18</v>
      </c>
      <c r="G32" s="24">
        <f>+H32</f>
        <v>12.25</v>
      </c>
      <c r="H32" s="24">
        <v>12.25</v>
      </c>
      <c r="I32" s="24">
        <v>4.5</v>
      </c>
      <c r="J32" s="24">
        <f t="shared" si="0"/>
        <v>43.89</v>
      </c>
      <c r="K32" s="24">
        <v>14.31</v>
      </c>
      <c r="L32" s="25">
        <f t="shared" si="3"/>
        <v>58.2</v>
      </c>
    </row>
    <row r="33" spans="1:12">
      <c r="A33" s="26">
        <f t="shared" si="2"/>
        <v>21</v>
      </c>
      <c r="B33" s="45">
        <v>200940361</v>
      </c>
      <c r="C33" s="59" t="s">
        <v>63</v>
      </c>
      <c r="D33" s="24">
        <v>0.3</v>
      </c>
      <c r="E33" s="24">
        <v>2</v>
      </c>
      <c r="F33" s="24">
        <v>4.43</v>
      </c>
      <c r="G33" s="24">
        <v>0</v>
      </c>
      <c r="H33" s="24">
        <v>0</v>
      </c>
      <c r="I33" s="24">
        <v>4.5</v>
      </c>
      <c r="J33" s="24">
        <f t="shared" si="0"/>
        <v>11.23</v>
      </c>
      <c r="K33" s="24" t="s">
        <v>475</v>
      </c>
      <c r="L33" s="25">
        <f>+J33</f>
        <v>11.23</v>
      </c>
    </row>
    <row r="34" spans="1:12">
      <c r="A34" s="26">
        <f t="shared" si="2"/>
        <v>22</v>
      </c>
      <c r="B34" s="45">
        <v>200940365</v>
      </c>
      <c r="C34" s="56" t="s">
        <v>64</v>
      </c>
      <c r="D34" s="24">
        <v>6.3</v>
      </c>
      <c r="E34" s="24">
        <v>4.96</v>
      </c>
      <c r="F34" s="24">
        <v>10.23</v>
      </c>
      <c r="G34" s="24">
        <v>5.99</v>
      </c>
      <c r="H34" s="24">
        <v>11</v>
      </c>
      <c r="I34" s="24">
        <v>4.5</v>
      </c>
      <c r="J34" s="24">
        <f t="shared" si="0"/>
        <v>42.98</v>
      </c>
      <c r="K34" s="24">
        <v>10.3</v>
      </c>
      <c r="L34" s="25">
        <f t="shared" si="3"/>
        <v>53.28</v>
      </c>
    </row>
    <row r="35" spans="1:12">
      <c r="A35" s="26">
        <f t="shared" si="2"/>
        <v>23</v>
      </c>
      <c r="B35" s="57">
        <v>200940438</v>
      </c>
      <c r="C35" s="58" t="s">
        <v>65</v>
      </c>
      <c r="D35" s="24">
        <v>2.4</v>
      </c>
      <c r="E35" s="24">
        <v>6.21</v>
      </c>
      <c r="F35" s="24">
        <v>5.1100000000000003</v>
      </c>
      <c r="G35" s="24">
        <v>3</v>
      </c>
      <c r="H35" s="24">
        <v>1.62</v>
      </c>
      <c r="I35" s="24">
        <v>2.5</v>
      </c>
      <c r="J35" s="24">
        <f t="shared" si="0"/>
        <v>20.84</v>
      </c>
      <c r="K35" s="24" t="s">
        <v>475</v>
      </c>
      <c r="L35" s="25">
        <f>+J35</f>
        <v>20.84</v>
      </c>
    </row>
    <row r="36" spans="1:12">
      <c r="A36" s="26">
        <f t="shared" si="2"/>
        <v>24</v>
      </c>
      <c r="B36" s="45">
        <v>200940473</v>
      </c>
      <c r="C36" s="56" t="s">
        <v>66</v>
      </c>
      <c r="D36" s="24">
        <v>0.9</v>
      </c>
      <c r="E36" s="24">
        <v>1.1399999999999999</v>
      </c>
      <c r="F36" s="24">
        <v>6.13</v>
      </c>
      <c r="G36" s="24">
        <v>6</v>
      </c>
      <c r="H36" s="24">
        <v>0</v>
      </c>
      <c r="I36" s="24">
        <v>4.5</v>
      </c>
      <c r="J36" s="24">
        <f t="shared" si="0"/>
        <v>18.669999999999998</v>
      </c>
      <c r="K36" s="24" t="s">
        <v>475</v>
      </c>
      <c r="L36" s="25">
        <f>+J36</f>
        <v>18.669999999999998</v>
      </c>
    </row>
    <row r="37" spans="1:12">
      <c r="A37" s="26">
        <f t="shared" si="2"/>
        <v>25</v>
      </c>
      <c r="B37" s="45">
        <v>200940475</v>
      </c>
      <c r="C37" s="56" t="s">
        <v>67</v>
      </c>
      <c r="D37" s="24">
        <v>6.9</v>
      </c>
      <c r="E37" s="24">
        <v>7.92</v>
      </c>
      <c r="F37" s="24">
        <v>7.84</v>
      </c>
      <c r="G37" s="24">
        <v>8.33</v>
      </c>
      <c r="H37" s="24">
        <v>10.75</v>
      </c>
      <c r="I37" s="24">
        <v>5</v>
      </c>
      <c r="J37" s="24">
        <f t="shared" si="0"/>
        <v>46.739999999999995</v>
      </c>
      <c r="K37" s="24">
        <v>14.31</v>
      </c>
      <c r="L37" s="25">
        <f t="shared" si="3"/>
        <v>61.05</v>
      </c>
    </row>
    <row r="38" spans="1:12">
      <c r="A38" s="26">
        <f t="shared" si="2"/>
        <v>26</v>
      </c>
      <c r="B38" s="45">
        <v>200940477</v>
      </c>
      <c r="C38" s="56" t="s">
        <v>68</v>
      </c>
      <c r="D38" s="24">
        <v>3</v>
      </c>
      <c r="E38" s="24">
        <v>8.49</v>
      </c>
      <c r="F38" s="24">
        <v>8.52</v>
      </c>
      <c r="G38" s="24">
        <v>8.83</v>
      </c>
      <c r="H38" s="24">
        <v>13.75</v>
      </c>
      <c r="I38" s="24">
        <v>5</v>
      </c>
      <c r="J38" s="24">
        <f t="shared" si="0"/>
        <v>47.589999999999996</v>
      </c>
      <c r="K38" s="24">
        <v>14.38</v>
      </c>
      <c r="L38" s="25">
        <f t="shared" si="3"/>
        <v>61.97</v>
      </c>
    </row>
    <row r="39" spans="1:12">
      <c r="A39" s="26">
        <f t="shared" si="2"/>
        <v>27</v>
      </c>
      <c r="B39" s="45">
        <v>200940482</v>
      </c>
      <c r="C39" s="56" t="s">
        <v>69</v>
      </c>
      <c r="D39" s="24">
        <v>4.2</v>
      </c>
      <c r="E39" s="24">
        <v>8.31</v>
      </c>
      <c r="F39" s="24">
        <v>7.5</v>
      </c>
      <c r="G39" s="24">
        <v>10.16</v>
      </c>
      <c r="H39" s="24">
        <v>12.75</v>
      </c>
      <c r="I39" s="24">
        <v>5</v>
      </c>
      <c r="J39" s="24">
        <f t="shared" si="0"/>
        <v>47.92</v>
      </c>
      <c r="K39" s="24">
        <v>13.5</v>
      </c>
      <c r="L39" s="25">
        <f t="shared" si="3"/>
        <v>61.42</v>
      </c>
    </row>
    <row r="40" spans="1:12">
      <c r="A40" s="26">
        <f t="shared" si="2"/>
        <v>28</v>
      </c>
      <c r="B40" s="57">
        <v>200940485</v>
      </c>
      <c r="C40" s="58" t="s">
        <v>70</v>
      </c>
      <c r="D40" s="24">
        <v>3.9</v>
      </c>
      <c r="E40" s="24">
        <v>1.71</v>
      </c>
      <c r="F40" s="24">
        <v>6.14</v>
      </c>
      <c r="G40" s="24">
        <v>0</v>
      </c>
      <c r="H40" s="24">
        <v>0</v>
      </c>
      <c r="I40" s="24">
        <v>2.5</v>
      </c>
      <c r="J40" s="24">
        <f t="shared" si="0"/>
        <v>14.250000000000002</v>
      </c>
      <c r="K40" s="24" t="s">
        <v>475</v>
      </c>
      <c r="L40" s="25">
        <f>+J40</f>
        <v>14.250000000000002</v>
      </c>
    </row>
    <row r="41" spans="1:12">
      <c r="A41" s="26">
        <f t="shared" si="2"/>
        <v>29</v>
      </c>
      <c r="B41" s="45">
        <v>200940487</v>
      </c>
      <c r="C41" s="56" t="s">
        <v>71</v>
      </c>
      <c r="D41" s="24">
        <v>0.6</v>
      </c>
      <c r="E41" s="24">
        <v>1.43</v>
      </c>
      <c r="F41" s="24">
        <v>4.43</v>
      </c>
      <c r="G41" s="24">
        <v>0.66</v>
      </c>
      <c r="H41" s="24">
        <v>0</v>
      </c>
      <c r="I41" s="24">
        <v>4.5</v>
      </c>
      <c r="J41" s="24">
        <f t="shared" si="0"/>
        <v>11.62</v>
      </c>
      <c r="K41" s="24" t="s">
        <v>475</v>
      </c>
      <c r="L41" s="25">
        <f t="shared" ref="L41:L42" si="5">+J41</f>
        <v>11.62</v>
      </c>
    </row>
    <row r="42" spans="1:12">
      <c r="A42" s="26">
        <f t="shared" si="2"/>
        <v>30</v>
      </c>
      <c r="B42" s="45">
        <v>200940501</v>
      </c>
      <c r="C42" s="59" t="s">
        <v>72</v>
      </c>
      <c r="D42" s="24">
        <v>1.8</v>
      </c>
      <c r="E42" s="24">
        <v>5.95</v>
      </c>
      <c r="F42" s="24">
        <v>6.82</v>
      </c>
      <c r="G42" s="24">
        <v>4.99</v>
      </c>
      <c r="H42" s="24">
        <v>0</v>
      </c>
      <c r="I42" s="24">
        <v>5</v>
      </c>
      <c r="J42" s="24">
        <f t="shared" si="0"/>
        <v>24.560000000000002</v>
      </c>
      <c r="K42" s="24" t="s">
        <v>475</v>
      </c>
      <c r="L42" s="25">
        <f t="shared" si="5"/>
        <v>24.560000000000002</v>
      </c>
    </row>
    <row r="43" spans="1:12">
      <c r="A43" s="26">
        <f t="shared" si="2"/>
        <v>31</v>
      </c>
      <c r="B43" s="45">
        <v>200940509</v>
      </c>
      <c r="C43" s="56" t="s">
        <v>73</v>
      </c>
      <c r="D43" s="24">
        <v>8.4</v>
      </c>
      <c r="E43" s="24">
        <v>11.34</v>
      </c>
      <c r="F43" s="24">
        <f>G43</f>
        <v>11.67</v>
      </c>
      <c r="G43" s="24">
        <v>11.67</v>
      </c>
      <c r="H43" s="24">
        <v>13.62</v>
      </c>
      <c r="I43" s="24">
        <v>5</v>
      </c>
      <c r="J43" s="24">
        <f t="shared" si="0"/>
        <v>61.699999999999996</v>
      </c>
      <c r="K43" s="24">
        <v>14.77</v>
      </c>
      <c r="L43" s="25">
        <f t="shared" si="3"/>
        <v>76.47</v>
      </c>
    </row>
    <row r="44" spans="1:12">
      <c r="A44" s="26">
        <f t="shared" si="2"/>
        <v>32</v>
      </c>
      <c r="B44" s="45">
        <v>200940510</v>
      </c>
      <c r="C44" s="56" t="s">
        <v>74</v>
      </c>
      <c r="D44" s="24">
        <v>2.4</v>
      </c>
      <c r="E44" s="24">
        <v>0.56999999999999995</v>
      </c>
      <c r="F44" s="24">
        <v>5.45</v>
      </c>
      <c r="G44" s="24">
        <v>3.5</v>
      </c>
      <c r="H44" s="24">
        <v>0</v>
      </c>
      <c r="I44" s="24">
        <v>4.5</v>
      </c>
      <c r="J44" s="24">
        <f t="shared" si="0"/>
        <v>16.419999999999998</v>
      </c>
      <c r="K44" s="24" t="s">
        <v>475</v>
      </c>
      <c r="L44" s="25">
        <f>+J44</f>
        <v>16.419999999999998</v>
      </c>
    </row>
    <row r="45" spans="1:12">
      <c r="A45" s="26">
        <f t="shared" si="2"/>
        <v>33</v>
      </c>
      <c r="B45" s="45">
        <v>200940515</v>
      </c>
      <c r="C45" s="58" t="s">
        <v>75</v>
      </c>
      <c r="D45" s="24">
        <v>2.4</v>
      </c>
      <c r="E45" s="24">
        <v>2.2799999999999998</v>
      </c>
      <c r="F45" s="24">
        <v>6.48</v>
      </c>
      <c r="G45" s="24">
        <v>1.83</v>
      </c>
      <c r="H45" s="24">
        <v>4</v>
      </c>
      <c r="I45" s="24">
        <v>4.5</v>
      </c>
      <c r="J45" s="24">
        <f t="shared" si="0"/>
        <v>21.490000000000002</v>
      </c>
      <c r="K45" s="24" t="s">
        <v>475</v>
      </c>
      <c r="L45" s="25">
        <f t="shared" ref="L45:L55" si="6">+J45</f>
        <v>21.490000000000002</v>
      </c>
    </row>
    <row r="46" spans="1:12">
      <c r="A46" s="26">
        <f t="shared" si="2"/>
        <v>34</v>
      </c>
      <c r="B46" s="45">
        <v>200940517</v>
      </c>
      <c r="C46" s="56" t="s">
        <v>76</v>
      </c>
      <c r="D46" s="24">
        <v>6.6</v>
      </c>
      <c r="E46" s="24">
        <v>8.18</v>
      </c>
      <c r="F46" s="24">
        <v>8.18</v>
      </c>
      <c r="G46" s="24">
        <v>7.99</v>
      </c>
      <c r="H46" s="24">
        <v>9.25</v>
      </c>
      <c r="I46" s="24">
        <v>5</v>
      </c>
      <c r="J46" s="24">
        <f t="shared" si="0"/>
        <v>45.2</v>
      </c>
      <c r="K46" s="24" t="s">
        <v>476</v>
      </c>
      <c r="L46" s="25">
        <v>45.2</v>
      </c>
    </row>
    <row r="47" spans="1:12">
      <c r="A47" s="26">
        <f t="shared" si="2"/>
        <v>35</v>
      </c>
      <c r="B47" s="57">
        <v>200940518</v>
      </c>
      <c r="C47" s="60" t="s">
        <v>77</v>
      </c>
      <c r="D47" s="24">
        <v>0.9</v>
      </c>
      <c r="E47" s="24">
        <v>5.92</v>
      </c>
      <c r="F47" s="24">
        <v>11.6</v>
      </c>
      <c r="G47" s="24">
        <v>4.83</v>
      </c>
      <c r="H47" s="24">
        <v>11.5</v>
      </c>
      <c r="I47" s="24">
        <v>5</v>
      </c>
      <c r="J47" s="24">
        <f t="shared" si="0"/>
        <v>39.75</v>
      </c>
      <c r="K47" s="24" t="s">
        <v>475</v>
      </c>
      <c r="L47" s="25">
        <f t="shared" si="6"/>
        <v>39.75</v>
      </c>
    </row>
    <row r="48" spans="1:12">
      <c r="A48" s="26">
        <f t="shared" si="2"/>
        <v>36</v>
      </c>
      <c r="B48" s="45">
        <v>200940525</v>
      </c>
      <c r="C48" s="56" t="s">
        <v>78</v>
      </c>
      <c r="D48" s="24">
        <v>2.4</v>
      </c>
      <c r="E48" s="24">
        <v>4.67</v>
      </c>
      <c r="F48" s="24">
        <v>7.84</v>
      </c>
      <c r="G48" s="24">
        <v>6.33</v>
      </c>
      <c r="H48" s="24">
        <v>5.25</v>
      </c>
      <c r="I48" s="24">
        <v>4.5</v>
      </c>
      <c r="J48" s="24">
        <f t="shared" si="0"/>
        <v>30.989999999999995</v>
      </c>
      <c r="K48" s="24" t="s">
        <v>475</v>
      </c>
      <c r="L48" s="25">
        <f t="shared" si="6"/>
        <v>30.989999999999995</v>
      </c>
    </row>
    <row r="49" spans="1:12">
      <c r="A49" s="26">
        <f t="shared" si="2"/>
        <v>37</v>
      </c>
      <c r="B49" s="45">
        <v>200940530</v>
      </c>
      <c r="C49" s="56" t="s">
        <v>79</v>
      </c>
      <c r="D49" s="24">
        <v>1.8</v>
      </c>
      <c r="E49" s="24">
        <v>2.79</v>
      </c>
      <c r="F49" s="24">
        <v>8.18</v>
      </c>
      <c r="G49" s="24">
        <v>5.33</v>
      </c>
      <c r="H49" s="24">
        <v>4.5</v>
      </c>
      <c r="I49" s="24">
        <v>4.5</v>
      </c>
      <c r="J49" s="24">
        <f t="shared" si="0"/>
        <v>27.099999999999998</v>
      </c>
      <c r="K49" s="24" t="s">
        <v>475</v>
      </c>
      <c r="L49" s="25">
        <f t="shared" si="6"/>
        <v>27.099999999999998</v>
      </c>
    </row>
    <row r="50" spans="1:12">
      <c r="A50" s="26">
        <f t="shared" si="2"/>
        <v>38</v>
      </c>
      <c r="B50" s="45">
        <v>200940531</v>
      </c>
      <c r="C50" s="60" t="s">
        <v>80</v>
      </c>
      <c r="D50" s="24">
        <v>1.5</v>
      </c>
      <c r="E50" s="24">
        <v>1.1399999999999999</v>
      </c>
      <c r="F50" s="24">
        <v>3.41</v>
      </c>
      <c r="G50" s="24">
        <v>0</v>
      </c>
      <c r="H50" s="24">
        <v>0</v>
      </c>
      <c r="I50" s="24">
        <v>4.5</v>
      </c>
      <c r="J50" s="24">
        <f t="shared" si="0"/>
        <v>10.55</v>
      </c>
      <c r="K50" s="24" t="s">
        <v>475</v>
      </c>
      <c r="L50" s="25">
        <f t="shared" si="6"/>
        <v>10.55</v>
      </c>
    </row>
    <row r="51" spans="1:12">
      <c r="A51" s="26">
        <f t="shared" si="2"/>
        <v>39</v>
      </c>
      <c r="B51" s="45">
        <v>200940532</v>
      </c>
      <c r="C51" s="56" t="s">
        <v>81</v>
      </c>
      <c r="D51" s="24">
        <v>2.4</v>
      </c>
      <c r="E51" s="24">
        <v>3.82</v>
      </c>
      <c r="F51" s="24">
        <v>7.16</v>
      </c>
      <c r="G51" s="24">
        <v>6.9989999999999997</v>
      </c>
      <c r="H51" s="24">
        <v>0</v>
      </c>
      <c r="I51" s="24">
        <v>5</v>
      </c>
      <c r="J51" s="24">
        <f t="shared" si="0"/>
        <v>25.378999999999998</v>
      </c>
      <c r="K51" s="24" t="s">
        <v>475</v>
      </c>
      <c r="L51" s="25">
        <f t="shared" si="6"/>
        <v>25.378999999999998</v>
      </c>
    </row>
    <row r="52" spans="1:12">
      <c r="A52" s="26">
        <f t="shared" si="2"/>
        <v>40</v>
      </c>
      <c r="B52" s="57">
        <v>200940564</v>
      </c>
      <c r="C52" s="58" t="s">
        <v>82</v>
      </c>
      <c r="D52" s="24">
        <v>2.4</v>
      </c>
      <c r="E52" s="24">
        <v>6.49</v>
      </c>
      <c r="F52" s="24">
        <v>6.82</v>
      </c>
      <c r="G52" s="24">
        <v>0</v>
      </c>
      <c r="H52" s="24">
        <v>0</v>
      </c>
      <c r="I52" s="24">
        <v>5</v>
      </c>
      <c r="J52" s="24">
        <f t="shared" si="0"/>
        <v>20.71</v>
      </c>
      <c r="K52" s="24" t="s">
        <v>475</v>
      </c>
      <c r="L52" s="25">
        <f t="shared" si="6"/>
        <v>20.71</v>
      </c>
    </row>
    <row r="53" spans="1:12">
      <c r="A53" s="26">
        <f t="shared" si="2"/>
        <v>41</v>
      </c>
      <c r="B53" s="45">
        <v>200940775</v>
      </c>
      <c r="C53" s="56" t="s">
        <v>83</v>
      </c>
      <c r="D53" s="24">
        <v>3</v>
      </c>
      <c r="E53" s="24">
        <v>2.96</v>
      </c>
      <c r="F53" s="24">
        <v>7.5</v>
      </c>
      <c r="G53" s="24">
        <v>0</v>
      </c>
      <c r="H53" s="24">
        <v>0</v>
      </c>
      <c r="I53" s="24">
        <v>4.5</v>
      </c>
      <c r="J53" s="24">
        <f t="shared" si="0"/>
        <v>17.96</v>
      </c>
      <c r="K53" s="24" t="s">
        <v>475</v>
      </c>
      <c r="L53" s="25">
        <f t="shared" si="6"/>
        <v>17.96</v>
      </c>
    </row>
    <row r="54" spans="1:12">
      <c r="A54" s="26">
        <f t="shared" si="2"/>
        <v>42</v>
      </c>
      <c r="B54" s="45">
        <v>200940802</v>
      </c>
      <c r="C54" s="56" t="s">
        <v>84</v>
      </c>
      <c r="D54" s="24">
        <v>2.7</v>
      </c>
      <c r="E54" s="24">
        <v>5.64</v>
      </c>
      <c r="F54" s="24">
        <v>9.5500000000000007</v>
      </c>
      <c r="G54" s="24">
        <v>6.99</v>
      </c>
      <c r="H54" s="24">
        <v>11.12</v>
      </c>
      <c r="I54" s="24">
        <v>5</v>
      </c>
      <c r="J54" s="24">
        <f t="shared" si="0"/>
        <v>41</v>
      </c>
      <c r="K54" s="24">
        <v>9.5399999999999991</v>
      </c>
      <c r="L54" s="25">
        <f>+K54+J54</f>
        <v>50.54</v>
      </c>
    </row>
    <row r="55" spans="1:12">
      <c r="A55" s="26">
        <f t="shared" si="2"/>
        <v>43</v>
      </c>
      <c r="B55" s="45">
        <v>200942768</v>
      </c>
      <c r="C55" s="56" t="s">
        <v>85</v>
      </c>
      <c r="D55" s="24">
        <v>1.5</v>
      </c>
      <c r="E55" s="24">
        <v>2.39</v>
      </c>
      <c r="F55" s="24">
        <v>5.45</v>
      </c>
      <c r="G55" s="24">
        <v>0.66</v>
      </c>
      <c r="H55" s="24">
        <v>0</v>
      </c>
      <c r="I55" s="24">
        <v>5</v>
      </c>
      <c r="J55" s="24">
        <f t="shared" si="0"/>
        <v>15</v>
      </c>
      <c r="K55" s="24" t="s">
        <v>475</v>
      </c>
      <c r="L55" s="25">
        <f t="shared" si="6"/>
        <v>15</v>
      </c>
    </row>
    <row r="56" spans="1:12">
      <c r="A56" s="26">
        <f t="shared" si="2"/>
        <v>44</v>
      </c>
      <c r="B56" s="45">
        <v>200943635</v>
      </c>
      <c r="C56" s="56" t="s">
        <v>86</v>
      </c>
      <c r="D56" s="24">
        <v>4.8</v>
      </c>
      <c r="E56" s="24">
        <v>9.02</v>
      </c>
      <c r="F56" s="24">
        <v>8.52</v>
      </c>
      <c r="G56" s="24">
        <v>8.83</v>
      </c>
      <c r="H56" s="24">
        <v>7.62</v>
      </c>
      <c r="I56" s="24">
        <v>5</v>
      </c>
      <c r="J56" s="24">
        <f t="shared" si="0"/>
        <v>43.79</v>
      </c>
      <c r="K56" s="24">
        <v>10.62</v>
      </c>
      <c r="L56" s="25">
        <f t="shared" si="3"/>
        <v>54.41</v>
      </c>
    </row>
    <row r="57" spans="1:12">
      <c r="A57" s="26">
        <f t="shared" si="2"/>
        <v>45</v>
      </c>
      <c r="B57" s="45">
        <v>200944076</v>
      </c>
      <c r="C57" s="56" t="s">
        <v>87</v>
      </c>
      <c r="D57" s="24">
        <v>3.3</v>
      </c>
      <c r="E57" s="24">
        <v>4.0999999999999996</v>
      </c>
      <c r="F57" s="24">
        <v>11.93</v>
      </c>
      <c r="G57" s="24">
        <v>1.17</v>
      </c>
      <c r="H57" s="24">
        <v>5.25</v>
      </c>
      <c r="I57" s="24">
        <v>4.5</v>
      </c>
      <c r="J57" s="24">
        <f t="shared" si="0"/>
        <v>30.250000000000004</v>
      </c>
      <c r="K57" s="24" t="s">
        <v>475</v>
      </c>
      <c r="L57" s="25">
        <f>+J57</f>
        <v>30.250000000000004</v>
      </c>
    </row>
    <row r="58" spans="1:12">
      <c r="A58" s="26">
        <f t="shared" si="2"/>
        <v>46</v>
      </c>
      <c r="B58" s="45">
        <v>200944407</v>
      </c>
      <c r="C58" s="56" t="s">
        <v>88</v>
      </c>
      <c r="D58" s="24">
        <v>1.8</v>
      </c>
      <c r="E58" s="24">
        <v>4.3899999999999997</v>
      </c>
      <c r="F58" s="24">
        <v>10.91</v>
      </c>
      <c r="G58" s="24">
        <v>0</v>
      </c>
      <c r="H58" s="24">
        <v>0</v>
      </c>
      <c r="I58" s="24">
        <v>4.5</v>
      </c>
      <c r="J58" s="24">
        <f t="shared" si="0"/>
        <v>21.6</v>
      </c>
      <c r="K58" s="24" t="s">
        <v>475</v>
      </c>
      <c r="L58" s="25">
        <f>+J58</f>
        <v>21.6</v>
      </c>
    </row>
    <row r="59" spans="1:12">
      <c r="A59" s="26">
        <f t="shared" si="2"/>
        <v>47</v>
      </c>
      <c r="B59" s="45">
        <v>200945275</v>
      </c>
      <c r="C59" s="56" t="s">
        <v>89</v>
      </c>
      <c r="D59" s="24">
        <v>4.5</v>
      </c>
      <c r="E59" s="24">
        <v>8.49</v>
      </c>
      <c r="F59" s="24">
        <v>8.85</v>
      </c>
      <c r="G59" s="24">
        <v>9.33</v>
      </c>
      <c r="H59" s="24">
        <v>12.37</v>
      </c>
      <c r="I59" s="24">
        <v>5</v>
      </c>
      <c r="J59" s="24">
        <f t="shared" si="0"/>
        <v>48.54</v>
      </c>
      <c r="K59" s="24">
        <v>13.38</v>
      </c>
      <c r="L59" s="25">
        <f t="shared" si="3"/>
        <v>61.92</v>
      </c>
    </row>
    <row r="60" spans="1:12">
      <c r="A60" s="26">
        <f t="shared" si="2"/>
        <v>48</v>
      </c>
      <c r="B60" s="45">
        <v>200945795</v>
      </c>
      <c r="C60" s="56" t="s">
        <v>90</v>
      </c>
      <c r="D60" s="24">
        <v>1.2</v>
      </c>
      <c r="E60" s="24">
        <v>1.1399999999999999</v>
      </c>
      <c r="F60" s="24">
        <v>4.2300000000000004</v>
      </c>
      <c r="G60" s="24">
        <v>0</v>
      </c>
      <c r="H60" s="24">
        <v>0</v>
      </c>
      <c r="I60" s="24">
        <v>5</v>
      </c>
      <c r="J60" s="24">
        <f t="shared" si="0"/>
        <v>11.57</v>
      </c>
      <c r="K60" s="24" t="s">
        <v>475</v>
      </c>
      <c r="L60" s="25">
        <f>+J60</f>
        <v>11.57</v>
      </c>
    </row>
    <row r="61" spans="1:12">
      <c r="A61" s="29"/>
      <c r="B61" s="29"/>
      <c r="C61" s="30"/>
      <c r="D61" s="31"/>
      <c r="E61" s="31"/>
      <c r="F61" s="31"/>
      <c r="G61" s="31"/>
      <c r="H61" s="31"/>
      <c r="I61" s="31"/>
      <c r="J61" s="31"/>
      <c r="K61" s="31"/>
      <c r="L61" s="32"/>
    </row>
    <row r="62" spans="1:12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2"/>
    </row>
    <row r="63" spans="1:12" ht="17.25" thickBot="1">
      <c r="A63" s="33"/>
      <c r="B63" s="33"/>
      <c r="C63" s="34"/>
      <c r="D63" s="31"/>
      <c r="E63" s="31"/>
      <c r="F63" s="31"/>
      <c r="G63" s="31"/>
      <c r="H63" s="35"/>
      <c r="I63" s="35"/>
      <c r="J63" s="35"/>
      <c r="K63" s="9"/>
      <c r="L63" s="32"/>
    </row>
    <row r="64" spans="1:12">
      <c r="H64" s="100" t="s">
        <v>470</v>
      </c>
      <c r="I64" s="100"/>
      <c r="J64" s="100"/>
      <c r="L64" s="1"/>
    </row>
    <row r="65" spans="1:12">
      <c r="D65" s="36"/>
      <c r="H65" s="100" t="s">
        <v>21</v>
      </c>
      <c r="I65" s="100"/>
      <c r="J65" s="100"/>
      <c r="L65" s="1"/>
    </row>
    <row r="66" spans="1:12">
      <c r="D66" s="36"/>
      <c r="H66" s="100" t="s">
        <v>471</v>
      </c>
      <c r="I66" s="100"/>
      <c r="J66" s="100"/>
      <c r="L66" s="1"/>
    </row>
    <row r="79" spans="1:12" ht="17.25" thickBot="1">
      <c r="A79" s="1" t="s">
        <v>0</v>
      </c>
      <c r="I79" s="3"/>
    </row>
    <row r="80" spans="1:12">
      <c r="A80" s="1" t="s">
        <v>1</v>
      </c>
      <c r="F80" s="4"/>
      <c r="G80" s="5"/>
      <c r="H80" s="6"/>
      <c r="I80" s="7"/>
    </row>
    <row r="81" spans="1:12">
      <c r="A81" s="8" t="s">
        <v>2</v>
      </c>
      <c r="B81" s="9"/>
      <c r="E81" s="7"/>
      <c r="F81" s="10"/>
      <c r="G81" s="11"/>
      <c r="H81" s="12"/>
      <c r="I81" s="7"/>
    </row>
    <row r="82" spans="1:12" ht="17.25" thickBot="1">
      <c r="A82" s="13" t="s">
        <v>3</v>
      </c>
      <c r="B82" s="9"/>
      <c r="E82" s="7"/>
      <c r="F82" s="10"/>
      <c r="G82" s="11"/>
      <c r="H82" s="12"/>
      <c r="I82" s="7"/>
    </row>
    <row r="83" spans="1:12" ht="17.25" thickBot="1">
      <c r="A83" s="14" t="s">
        <v>22</v>
      </c>
      <c r="B83" s="15"/>
      <c r="C83" s="16"/>
      <c r="E83" s="7"/>
      <c r="F83" s="17"/>
      <c r="G83" s="18"/>
      <c r="H83" s="19"/>
      <c r="I83" s="7"/>
    </row>
    <row r="84" spans="1:12">
      <c r="A84" s="8"/>
      <c r="B84" s="9"/>
      <c r="E84" s="7"/>
      <c r="I84" s="3"/>
    </row>
    <row r="85" spans="1:12">
      <c r="A85" s="1" t="s">
        <v>91</v>
      </c>
      <c r="B85" s="9"/>
      <c r="C85" s="20" t="s">
        <v>99</v>
      </c>
      <c r="E85" s="7"/>
      <c r="I85" s="3"/>
    </row>
    <row r="86" spans="1:12">
      <c r="A86" s="1" t="s">
        <v>4</v>
      </c>
      <c r="C86" s="20" t="s">
        <v>468</v>
      </c>
      <c r="I86" s="3"/>
    </row>
    <row r="87" spans="1:12">
      <c r="A87" s="1" t="s">
        <v>5</v>
      </c>
      <c r="C87" s="20" t="s">
        <v>472</v>
      </c>
    </row>
    <row r="88" spans="1:12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2">
      <c r="A89" s="1"/>
      <c r="C89" s="22" t="s">
        <v>6</v>
      </c>
      <c r="D89" s="22" t="s">
        <v>93</v>
      </c>
      <c r="E89" s="22" t="s">
        <v>93</v>
      </c>
      <c r="F89" s="22" t="s">
        <v>93</v>
      </c>
      <c r="G89" s="22" t="s">
        <v>93</v>
      </c>
      <c r="H89" s="22" t="s">
        <v>93</v>
      </c>
      <c r="I89" s="22" t="s">
        <v>94</v>
      </c>
      <c r="J89" s="22" t="s">
        <v>8</v>
      </c>
      <c r="K89" s="22" t="s">
        <v>7</v>
      </c>
      <c r="L89" s="22" t="s">
        <v>9</v>
      </c>
    </row>
    <row r="90" spans="1:12">
      <c r="A90" s="22" t="s">
        <v>10</v>
      </c>
      <c r="B90" s="22" t="s">
        <v>11</v>
      </c>
      <c r="C90" s="22" t="s">
        <v>12</v>
      </c>
      <c r="D90" s="22" t="s">
        <v>13</v>
      </c>
      <c r="E90" s="22" t="s">
        <v>14</v>
      </c>
      <c r="F90" s="22" t="s">
        <v>15</v>
      </c>
      <c r="G90" s="22" t="s">
        <v>16</v>
      </c>
      <c r="H90" s="22" t="s">
        <v>17</v>
      </c>
      <c r="I90" s="22" t="s">
        <v>95</v>
      </c>
      <c r="J90" s="22" t="s">
        <v>18</v>
      </c>
      <c r="K90" s="22" t="s">
        <v>19</v>
      </c>
      <c r="L90" s="22" t="s">
        <v>20</v>
      </c>
    </row>
    <row r="91" spans="1:12">
      <c r="A91" s="23">
        <v>1</v>
      </c>
      <c r="B91" s="45">
        <v>200840061</v>
      </c>
      <c r="C91" s="56" t="s">
        <v>108</v>
      </c>
      <c r="D91" s="24">
        <v>0.75</v>
      </c>
      <c r="E91" s="24">
        <v>4.38</v>
      </c>
      <c r="F91" s="24">
        <v>0</v>
      </c>
      <c r="G91" s="24">
        <v>0</v>
      </c>
      <c r="H91" s="24">
        <v>0</v>
      </c>
      <c r="I91" s="24">
        <v>0</v>
      </c>
      <c r="J91" s="24">
        <f>+I91+H91+G91+F91+E91+D91</f>
        <v>5.13</v>
      </c>
      <c r="K91" s="24" t="s">
        <v>475</v>
      </c>
      <c r="L91" s="25">
        <f>+J91</f>
        <v>5.13</v>
      </c>
    </row>
    <row r="92" spans="1:12">
      <c r="A92" s="26">
        <f>1+A91</f>
        <v>2</v>
      </c>
      <c r="B92" s="45">
        <v>200840078</v>
      </c>
      <c r="C92" s="56" t="s">
        <v>110</v>
      </c>
      <c r="D92" s="24">
        <v>2.25</v>
      </c>
      <c r="E92" s="24">
        <v>1.1399999999999999</v>
      </c>
      <c r="F92" s="24">
        <v>0</v>
      </c>
      <c r="G92" s="24">
        <v>0</v>
      </c>
      <c r="H92" s="24">
        <v>0</v>
      </c>
      <c r="I92" s="24">
        <v>0</v>
      </c>
      <c r="J92" s="24">
        <f t="shared" ref="J92:J143" si="7">+I92+H92+G92+F92+E92+D92</f>
        <v>3.3899999999999997</v>
      </c>
      <c r="K92" s="24" t="s">
        <v>475</v>
      </c>
      <c r="L92" s="25">
        <f t="shared" ref="L92:L95" si="8">+J92</f>
        <v>3.3899999999999997</v>
      </c>
    </row>
    <row r="93" spans="1:12">
      <c r="A93" s="26">
        <f t="shared" ref="A93:A143" si="9">1+A92</f>
        <v>3</v>
      </c>
      <c r="B93" s="45">
        <v>200840195</v>
      </c>
      <c r="C93" s="56" t="s">
        <v>113</v>
      </c>
      <c r="D93" s="24">
        <v>2.1</v>
      </c>
      <c r="E93" s="24">
        <v>2.1</v>
      </c>
      <c r="F93" s="24">
        <v>3.74</v>
      </c>
      <c r="G93" s="24">
        <v>0</v>
      </c>
      <c r="H93" s="24">
        <v>1.25</v>
      </c>
      <c r="I93" s="24">
        <v>5</v>
      </c>
      <c r="J93" s="24">
        <f t="shared" si="7"/>
        <v>14.19</v>
      </c>
      <c r="K93" s="24" t="s">
        <v>475</v>
      </c>
      <c r="L93" s="25">
        <f t="shared" si="8"/>
        <v>14.19</v>
      </c>
    </row>
    <row r="94" spans="1:12">
      <c r="A94" s="26">
        <f t="shared" si="9"/>
        <v>4</v>
      </c>
      <c r="B94" s="45">
        <v>200840208</v>
      </c>
      <c r="C94" s="56" t="s">
        <v>115</v>
      </c>
      <c r="D94" s="24">
        <v>2.4</v>
      </c>
      <c r="E94" s="24">
        <v>6.09</v>
      </c>
      <c r="F94" s="24">
        <v>7.82</v>
      </c>
      <c r="G94" s="24">
        <v>4.29</v>
      </c>
      <c r="H94" s="24">
        <v>7</v>
      </c>
      <c r="I94" s="24">
        <v>5</v>
      </c>
      <c r="J94" s="24">
        <f t="shared" si="7"/>
        <v>32.6</v>
      </c>
      <c r="K94" s="24" t="s">
        <v>475</v>
      </c>
      <c r="L94" s="25">
        <f t="shared" si="8"/>
        <v>32.6</v>
      </c>
    </row>
    <row r="95" spans="1:12">
      <c r="A95" s="26">
        <f t="shared" si="9"/>
        <v>5</v>
      </c>
      <c r="B95" s="45">
        <v>200840212</v>
      </c>
      <c r="C95" s="56" t="s">
        <v>116</v>
      </c>
      <c r="D95" s="24">
        <v>0</v>
      </c>
      <c r="E95" s="24">
        <v>4.29</v>
      </c>
      <c r="F95" s="24">
        <v>6.8</v>
      </c>
      <c r="G95" s="24">
        <v>2.97</v>
      </c>
      <c r="H95" s="24">
        <v>0</v>
      </c>
      <c r="I95" s="24">
        <v>0</v>
      </c>
      <c r="J95" s="24">
        <f t="shared" si="7"/>
        <v>14.059999999999999</v>
      </c>
      <c r="K95" s="24" t="s">
        <v>475</v>
      </c>
      <c r="L95" s="25">
        <f t="shared" si="8"/>
        <v>14.059999999999999</v>
      </c>
    </row>
    <row r="96" spans="1:12">
      <c r="A96" s="26">
        <f t="shared" si="9"/>
        <v>6</v>
      </c>
      <c r="B96" s="45">
        <v>200840224</v>
      </c>
      <c r="C96" s="56" t="s">
        <v>117</v>
      </c>
      <c r="D96" s="24">
        <v>8.25</v>
      </c>
      <c r="E96" s="24">
        <v>10.59</v>
      </c>
      <c r="F96" s="24">
        <v>10.54</v>
      </c>
      <c r="G96" s="24">
        <v>7.77</v>
      </c>
      <c r="H96" s="24">
        <v>12.75</v>
      </c>
      <c r="I96" s="24">
        <v>5</v>
      </c>
      <c r="J96" s="24">
        <f t="shared" si="7"/>
        <v>54.900000000000006</v>
      </c>
      <c r="K96" s="24">
        <v>7.8</v>
      </c>
      <c r="L96" s="25">
        <f t="shared" ref="L96:L143" si="10">+K96+J96</f>
        <v>62.7</v>
      </c>
    </row>
    <row r="97" spans="1:12">
      <c r="A97" s="26">
        <f t="shared" si="9"/>
        <v>7</v>
      </c>
      <c r="B97" s="45">
        <v>200840227</v>
      </c>
      <c r="C97" s="56" t="s">
        <v>118</v>
      </c>
      <c r="D97" s="24">
        <v>6</v>
      </c>
      <c r="E97" s="24">
        <v>4.78</v>
      </c>
      <c r="F97" s="24">
        <v>5.44</v>
      </c>
      <c r="G97" s="24">
        <v>6.77</v>
      </c>
      <c r="H97" s="24">
        <v>14</v>
      </c>
      <c r="I97" s="24">
        <v>5</v>
      </c>
      <c r="J97" s="24">
        <f t="shared" si="7"/>
        <v>41.99</v>
      </c>
      <c r="K97" s="24">
        <v>6.9</v>
      </c>
      <c r="L97" s="25">
        <f>+K97+J97</f>
        <v>48.89</v>
      </c>
    </row>
    <row r="98" spans="1:12">
      <c r="A98" s="26">
        <f t="shared" si="9"/>
        <v>8</v>
      </c>
      <c r="B98" s="45">
        <v>200842123</v>
      </c>
      <c r="C98" s="56" t="s">
        <v>123</v>
      </c>
      <c r="D98" s="24">
        <v>3.6</v>
      </c>
      <c r="E98" s="24">
        <v>2.63</v>
      </c>
      <c r="F98" s="24">
        <v>7.14</v>
      </c>
      <c r="G98" s="24">
        <v>2.31</v>
      </c>
      <c r="H98" s="24">
        <v>3.25</v>
      </c>
      <c r="I98" s="24">
        <v>5</v>
      </c>
      <c r="J98" s="24">
        <f t="shared" si="7"/>
        <v>23.93</v>
      </c>
      <c r="K98" s="24" t="s">
        <v>475</v>
      </c>
      <c r="L98" s="25">
        <f t="shared" ref="L98:L101" si="11">+J98</f>
        <v>23.93</v>
      </c>
    </row>
    <row r="99" spans="1:12">
      <c r="A99" s="26">
        <f t="shared" si="9"/>
        <v>9</v>
      </c>
      <c r="B99" s="57">
        <v>200843271</v>
      </c>
      <c r="C99" s="59" t="s">
        <v>124</v>
      </c>
      <c r="D99" s="24">
        <v>0</v>
      </c>
      <c r="E99" s="24">
        <v>1.1399999999999999</v>
      </c>
      <c r="F99" s="24">
        <v>2.38</v>
      </c>
      <c r="G99" s="24">
        <v>0</v>
      </c>
      <c r="H99" s="24">
        <v>0</v>
      </c>
      <c r="I99" s="24">
        <v>0</v>
      </c>
      <c r="J99" s="24">
        <f t="shared" si="7"/>
        <v>3.5199999999999996</v>
      </c>
      <c r="K99" s="24" t="s">
        <v>475</v>
      </c>
      <c r="L99" s="25">
        <f t="shared" si="11"/>
        <v>3.5199999999999996</v>
      </c>
    </row>
    <row r="100" spans="1:12">
      <c r="A100" s="26">
        <f t="shared" si="9"/>
        <v>10</v>
      </c>
      <c r="B100" s="45">
        <v>200843353</v>
      </c>
      <c r="C100" s="56" t="s">
        <v>125</v>
      </c>
      <c r="D100" s="24">
        <v>0.75</v>
      </c>
      <c r="E100" s="24">
        <v>0.56999999999999995</v>
      </c>
      <c r="F100" s="24">
        <v>2.04</v>
      </c>
      <c r="G100" s="24">
        <v>1.32</v>
      </c>
      <c r="H100" s="24">
        <v>0</v>
      </c>
      <c r="I100" s="24">
        <v>0</v>
      </c>
      <c r="J100" s="24">
        <f t="shared" si="7"/>
        <v>4.68</v>
      </c>
      <c r="K100" s="24" t="s">
        <v>475</v>
      </c>
      <c r="L100" s="25">
        <f t="shared" si="11"/>
        <v>4.68</v>
      </c>
    </row>
    <row r="101" spans="1:12">
      <c r="A101" s="26">
        <f t="shared" si="9"/>
        <v>11</v>
      </c>
      <c r="B101" s="45">
        <v>200940315</v>
      </c>
      <c r="C101" s="59" t="s">
        <v>126</v>
      </c>
      <c r="D101" s="24">
        <v>4.2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f t="shared" si="7"/>
        <v>4.2</v>
      </c>
      <c r="K101" s="24" t="s">
        <v>475</v>
      </c>
      <c r="L101" s="25">
        <f t="shared" si="11"/>
        <v>4.2</v>
      </c>
    </row>
    <row r="102" spans="1:12">
      <c r="A102" s="26">
        <f t="shared" si="9"/>
        <v>12</v>
      </c>
      <c r="B102" s="45">
        <v>200940317</v>
      </c>
      <c r="C102" s="56" t="s">
        <v>127</v>
      </c>
      <c r="D102" s="24">
        <v>2.4</v>
      </c>
      <c r="E102" s="24">
        <v>12.12</v>
      </c>
      <c r="F102" s="24">
        <v>10.54</v>
      </c>
      <c r="G102" s="24">
        <v>8.94</v>
      </c>
      <c r="H102" s="24">
        <v>12.25</v>
      </c>
      <c r="I102" s="24">
        <v>5</v>
      </c>
      <c r="J102" s="24">
        <f t="shared" si="7"/>
        <v>51.249999999999993</v>
      </c>
      <c r="K102" s="24">
        <v>11.1</v>
      </c>
      <c r="L102" s="25">
        <f t="shared" si="10"/>
        <v>62.349999999999994</v>
      </c>
    </row>
    <row r="103" spans="1:12">
      <c r="A103" s="26">
        <f t="shared" si="9"/>
        <v>13</v>
      </c>
      <c r="B103" s="45">
        <v>200940331</v>
      </c>
      <c r="C103" s="56" t="s">
        <v>128</v>
      </c>
      <c r="D103" s="24">
        <v>2.7</v>
      </c>
      <c r="E103" s="24">
        <v>7.23</v>
      </c>
      <c r="F103" s="24">
        <v>10.199999999999999</v>
      </c>
      <c r="G103" s="24">
        <v>5.28</v>
      </c>
      <c r="H103" s="28">
        <v>11.5</v>
      </c>
      <c r="I103" s="28">
        <v>5</v>
      </c>
      <c r="J103" s="24">
        <f t="shared" si="7"/>
        <v>41.910000000000004</v>
      </c>
      <c r="K103" s="24">
        <v>5.7</v>
      </c>
      <c r="L103" s="25">
        <f t="shared" si="10"/>
        <v>47.610000000000007</v>
      </c>
    </row>
    <row r="104" spans="1:12">
      <c r="A104" s="26">
        <f t="shared" si="9"/>
        <v>14</v>
      </c>
      <c r="B104" s="45">
        <v>200940334</v>
      </c>
      <c r="C104" s="59" t="s">
        <v>129</v>
      </c>
      <c r="D104" s="24">
        <v>5.25</v>
      </c>
      <c r="E104" s="24">
        <v>10.19</v>
      </c>
      <c r="F104" s="24">
        <v>8.5</v>
      </c>
      <c r="G104" s="24">
        <v>7.43</v>
      </c>
      <c r="H104" s="28">
        <v>12.25</v>
      </c>
      <c r="I104" s="28">
        <v>5</v>
      </c>
      <c r="J104" s="24">
        <f t="shared" si="7"/>
        <v>48.62</v>
      </c>
      <c r="K104" s="24">
        <v>15.6</v>
      </c>
      <c r="L104" s="25">
        <f t="shared" si="10"/>
        <v>64.22</v>
      </c>
    </row>
    <row r="105" spans="1:12">
      <c r="A105" s="26">
        <f t="shared" si="9"/>
        <v>15</v>
      </c>
      <c r="B105" s="57">
        <v>200940336</v>
      </c>
      <c r="C105" s="58" t="s">
        <v>130</v>
      </c>
      <c r="D105" s="24">
        <v>9</v>
      </c>
      <c r="E105" s="24">
        <v>10.56</v>
      </c>
      <c r="F105" s="24">
        <v>7.48</v>
      </c>
      <c r="G105" s="24">
        <v>5.28</v>
      </c>
      <c r="H105" s="28">
        <v>8.25</v>
      </c>
      <c r="I105" s="28">
        <v>5</v>
      </c>
      <c r="J105" s="24">
        <f t="shared" si="7"/>
        <v>45.57</v>
      </c>
      <c r="K105" s="24">
        <v>5.7</v>
      </c>
      <c r="L105" s="25">
        <f t="shared" si="10"/>
        <v>51.27</v>
      </c>
    </row>
    <row r="106" spans="1:12">
      <c r="A106" s="26">
        <f t="shared" si="9"/>
        <v>16</v>
      </c>
      <c r="B106" s="45">
        <v>200940345</v>
      </c>
      <c r="C106" s="56" t="s">
        <v>131</v>
      </c>
      <c r="D106" s="24">
        <v>1.88</v>
      </c>
      <c r="E106" s="24">
        <v>9.6199999999999992</v>
      </c>
      <c r="F106" s="24">
        <v>10.88</v>
      </c>
      <c r="G106" s="24">
        <v>7.93</v>
      </c>
      <c r="H106" s="28">
        <v>13</v>
      </c>
      <c r="I106" s="28">
        <v>5</v>
      </c>
      <c r="J106" s="24">
        <f t="shared" si="7"/>
        <v>48.31</v>
      </c>
      <c r="K106" s="24">
        <v>11.1</v>
      </c>
      <c r="L106" s="25">
        <f t="shared" si="10"/>
        <v>59.410000000000004</v>
      </c>
    </row>
    <row r="107" spans="1:12">
      <c r="A107" s="26">
        <f t="shared" si="9"/>
        <v>17</v>
      </c>
      <c r="B107" s="45">
        <v>200940347</v>
      </c>
      <c r="C107" s="56" t="s">
        <v>132</v>
      </c>
      <c r="D107" s="24">
        <v>1.5</v>
      </c>
      <c r="E107" s="24">
        <v>2.1</v>
      </c>
      <c r="F107" s="24">
        <v>5.0999999999999996</v>
      </c>
      <c r="G107" s="24">
        <v>2.97</v>
      </c>
      <c r="H107" s="24">
        <v>0</v>
      </c>
      <c r="I107" s="24">
        <v>0</v>
      </c>
      <c r="J107" s="24">
        <f t="shared" si="7"/>
        <v>11.67</v>
      </c>
      <c r="K107" s="24" t="s">
        <v>475</v>
      </c>
      <c r="L107" s="25">
        <f>+J107</f>
        <v>11.67</v>
      </c>
    </row>
    <row r="108" spans="1:12">
      <c r="A108" s="26">
        <f t="shared" si="9"/>
        <v>18</v>
      </c>
      <c r="B108" s="45">
        <v>200940349</v>
      </c>
      <c r="C108" s="59" t="s">
        <v>133</v>
      </c>
      <c r="D108" s="24">
        <v>3.38</v>
      </c>
      <c r="E108" s="24">
        <v>7.34</v>
      </c>
      <c r="F108" s="24">
        <v>11.56</v>
      </c>
      <c r="G108" s="24">
        <v>7.12</v>
      </c>
      <c r="H108" s="24">
        <v>12.25</v>
      </c>
      <c r="I108" s="24">
        <v>5</v>
      </c>
      <c r="J108" s="24">
        <f t="shared" si="7"/>
        <v>46.65</v>
      </c>
      <c r="K108" s="24">
        <v>9.9</v>
      </c>
      <c r="L108" s="25">
        <f t="shared" si="10"/>
        <v>56.55</v>
      </c>
    </row>
    <row r="109" spans="1:12">
      <c r="A109" s="26">
        <f t="shared" si="9"/>
        <v>19</v>
      </c>
      <c r="B109" s="45">
        <v>200940350</v>
      </c>
      <c r="C109" s="56" t="s">
        <v>134</v>
      </c>
      <c r="D109" s="24">
        <v>7.15</v>
      </c>
      <c r="E109" s="24">
        <v>7.17</v>
      </c>
      <c r="F109" s="24">
        <v>8.5</v>
      </c>
      <c r="G109" s="24">
        <v>5.28</v>
      </c>
      <c r="H109" s="24">
        <v>11.5</v>
      </c>
      <c r="I109" s="24">
        <v>5</v>
      </c>
      <c r="J109" s="24">
        <f t="shared" si="7"/>
        <v>44.6</v>
      </c>
      <c r="K109" s="24">
        <v>4.8</v>
      </c>
      <c r="L109" s="25">
        <f t="shared" si="10"/>
        <v>49.4</v>
      </c>
    </row>
    <row r="110" spans="1:12">
      <c r="A110" s="26">
        <f t="shared" si="9"/>
        <v>20</v>
      </c>
      <c r="B110" s="45">
        <v>200940483</v>
      </c>
      <c r="C110" s="56" t="s">
        <v>135</v>
      </c>
      <c r="D110" s="24">
        <v>4.8</v>
      </c>
      <c r="E110" s="24">
        <v>11.05</v>
      </c>
      <c r="F110" s="24">
        <v>11.9</v>
      </c>
      <c r="G110" s="24">
        <v>7.26</v>
      </c>
      <c r="H110" s="24">
        <v>12.5</v>
      </c>
      <c r="I110" s="24">
        <v>5</v>
      </c>
      <c r="J110" s="24">
        <f t="shared" si="7"/>
        <v>52.509999999999991</v>
      </c>
      <c r="K110" s="24">
        <v>11.4</v>
      </c>
      <c r="L110" s="25">
        <f t="shared" si="10"/>
        <v>63.909999999999989</v>
      </c>
    </row>
    <row r="111" spans="1:12">
      <c r="A111" s="26">
        <f t="shared" si="9"/>
        <v>21</v>
      </c>
      <c r="B111" s="45">
        <v>200940489</v>
      </c>
      <c r="C111" s="56" t="s">
        <v>136</v>
      </c>
      <c r="D111" s="24">
        <v>3</v>
      </c>
      <c r="E111" s="24">
        <v>8.66</v>
      </c>
      <c r="F111" s="24">
        <v>11.4</v>
      </c>
      <c r="G111" s="24">
        <v>4.62</v>
      </c>
      <c r="H111" s="24">
        <v>15</v>
      </c>
      <c r="I111" s="24">
        <v>5</v>
      </c>
      <c r="J111" s="24">
        <f t="shared" si="7"/>
        <v>47.680000000000007</v>
      </c>
      <c r="K111" s="24">
        <v>6</v>
      </c>
      <c r="L111" s="25">
        <f t="shared" si="10"/>
        <v>53.680000000000007</v>
      </c>
    </row>
    <row r="112" spans="1:12">
      <c r="A112" s="26">
        <f t="shared" si="9"/>
        <v>22</v>
      </c>
      <c r="B112" s="45">
        <v>200940504</v>
      </c>
      <c r="C112" s="56" t="s">
        <v>137</v>
      </c>
      <c r="D112" s="24">
        <v>7.13</v>
      </c>
      <c r="E112" s="24">
        <v>7.8</v>
      </c>
      <c r="F112" s="24">
        <v>5.0999999999999996</v>
      </c>
      <c r="G112" s="24">
        <v>2.31</v>
      </c>
      <c r="H112" s="24">
        <v>0</v>
      </c>
      <c r="I112" s="24">
        <v>0</v>
      </c>
      <c r="J112" s="24">
        <f t="shared" si="7"/>
        <v>22.34</v>
      </c>
      <c r="K112" s="24" t="s">
        <v>475</v>
      </c>
      <c r="L112" s="25">
        <f>+J112</f>
        <v>22.34</v>
      </c>
    </row>
    <row r="113" spans="1:12">
      <c r="A113" s="26">
        <f t="shared" si="9"/>
        <v>23</v>
      </c>
      <c r="B113" s="45">
        <v>200940512</v>
      </c>
      <c r="C113" s="56" t="s">
        <v>138</v>
      </c>
      <c r="D113" s="24">
        <v>4.13</v>
      </c>
      <c r="E113" s="24">
        <v>2</v>
      </c>
      <c r="F113" s="24">
        <v>7.48</v>
      </c>
      <c r="G113" s="24">
        <v>4.63</v>
      </c>
      <c r="H113" s="24">
        <v>2.75</v>
      </c>
      <c r="I113" s="24">
        <v>5</v>
      </c>
      <c r="J113" s="24">
        <f t="shared" si="7"/>
        <v>25.99</v>
      </c>
      <c r="K113" s="24" t="s">
        <v>475</v>
      </c>
      <c r="L113" s="25">
        <f t="shared" ref="L113:L117" si="12">+J113</f>
        <v>25.99</v>
      </c>
    </row>
    <row r="114" spans="1:12">
      <c r="A114" s="26">
        <f t="shared" si="9"/>
        <v>24</v>
      </c>
      <c r="B114" s="45">
        <v>200940522</v>
      </c>
      <c r="C114" s="56" t="s">
        <v>139</v>
      </c>
      <c r="D114" s="24">
        <v>1.2</v>
      </c>
      <c r="E114" s="24">
        <v>1.71</v>
      </c>
      <c r="F114" s="24">
        <v>3.74</v>
      </c>
      <c r="G114" s="24">
        <v>3.31</v>
      </c>
      <c r="H114" s="24">
        <v>0</v>
      </c>
      <c r="I114" s="24">
        <v>0</v>
      </c>
      <c r="J114" s="24">
        <f t="shared" si="7"/>
        <v>9.9600000000000009</v>
      </c>
      <c r="K114" s="24" t="s">
        <v>475</v>
      </c>
      <c r="L114" s="25">
        <f t="shared" si="12"/>
        <v>9.9600000000000009</v>
      </c>
    </row>
    <row r="115" spans="1:12">
      <c r="A115" s="26">
        <f t="shared" si="9"/>
        <v>25</v>
      </c>
      <c r="B115" s="45">
        <v>200940526</v>
      </c>
      <c r="C115" s="56" t="s">
        <v>140</v>
      </c>
      <c r="D115" s="24">
        <v>1.8</v>
      </c>
      <c r="E115" s="24">
        <v>4.49</v>
      </c>
      <c r="F115" s="24">
        <v>6.8</v>
      </c>
      <c r="G115" s="24">
        <v>2.31</v>
      </c>
      <c r="H115" s="24">
        <v>0</v>
      </c>
      <c r="I115" s="24">
        <v>0</v>
      </c>
      <c r="J115" s="24">
        <f t="shared" si="7"/>
        <v>15.4</v>
      </c>
      <c r="K115" s="24" t="s">
        <v>475</v>
      </c>
      <c r="L115" s="25">
        <f t="shared" si="12"/>
        <v>15.4</v>
      </c>
    </row>
    <row r="116" spans="1:12">
      <c r="A116" s="26">
        <f t="shared" si="9"/>
        <v>26</v>
      </c>
      <c r="B116" s="57">
        <v>200940527</v>
      </c>
      <c r="C116" s="60" t="s">
        <v>141</v>
      </c>
      <c r="D116" s="24">
        <v>3.75</v>
      </c>
      <c r="E116" s="24">
        <v>0.28499999999999998</v>
      </c>
      <c r="F116" s="24">
        <v>9.52</v>
      </c>
      <c r="G116" s="24">
        <v>5.62</v>
      </c>
      <c r="H116" s="24">
        <v>0</v>
      </c>
      <c r="I116" s="24">
        <v>0</v>
      </c>
      <c r="J116" s="24">
        <f t="shared" si="7"/>
        <v>19.175000000000001</v>
      </c>
      <c r="K116" s="24" t="s">
        <v>475</v>
      </c>
      <c r="L116" s="25">
        <f t="shared" si="12"/>
        <v>19.175000000000001</v>
      </c>
    </row>
    <row r="117" spans="1:12">
      <c r="A117" s="26">
        <f t="shared" si="9"/>
        <v>27</v>
      </c>
      <c r="B117" s="45">
        <v>200940534</v>
      </c>
      <c r="C117" s="56" t="s">
        <v>142</v>
      </c>
      <c r="D117" s="24">
        <v>2.1</v>
      </c>
      <c r="E117" s="24">
        <v>1.71</v>
      </c>
      <c r="F117" s="24">
        <v>8.5</v>
      </c>
      <c r="G117" s="24">
        <v>3.97</v>
      </c>
      <c r="H117" s="24">
        <v>0</v>
      </c>
      <c r="I117" s="24">
        <v>0</v>
      </c>
      <c r="J117" s="24">
        <f t="shared" si="7"/>
        <v>16.28</v>
      </c>
      <c r="K117" s="24" t="s">
        <v>475</v>
      </c>
      <c r="L117" s="25">
        <f t="shared" si="12"/>
        <v>16.28</v>
      </c>
    </row>
    <row r="118" spans="1:12">
      <c r="A118" s="26">
        <f t="shared" si="9"/>
        <v>28</v>
      </c>
      <c r="B118" s="45">
        <v>200940535</v>
      </c>
      <c r="C118" s="56" t="s">
        <v>143</v>
      </c>
      <c r="D118" s="24">
        <v>6</v>
      </c>
      <c r="E118" s="24">
        <v>5.52</v>
      </c>
      <c r="F118" s="24">
        <v>9.52</v>
      </c>
      <c r="G118" s="24">
        <v>8.59</v>
      </c>
      <c r="H118" s="24">
        <v>13.5</v>
      </c>
      <c r="I118" s="24">
        <v>5</v>
      </c>
      <c r="J118" s="24">
        <f t="shared" si="7"/>
        <v>48.129999999999995</v>
      </c>
      <c r="K118" s="24">
        <v>11.4</v>
      </c>
      <c r="L118" s="25">
        <f t="shared" si="10"/>
        <v>59.529999999999994</v>
      </c>
    </row>
    <row r="119" spans="1:12">
      <c r="A119" s="26">
        <f t="shared" si="9"/>
        <v>29</v>
      </c>
      <c r="B119" s="45">
        <v>200940813</v>
      </c>
      <c r="C119" s="56" t="s">
        <v>144</v>
      </c>
      <c r="D119" s="24">
        <v>1.1299999999999999</v>
      </c>
      <c r="E119" s="24">
        <v>1.99</v>
      </c>
      <c r="F119" s="24">
        <v>5.78</v>
      </c>
      <c r="G119" s="24">
        <v>1.32</v>
      </c>
      <c r="H119" s="24">
        <v>4</v>
      </c>
      <c r="I119" s="24">
        <v>5</v>
      </c>
      <c r="J119" s="24">
        <f t="shared" si="7"/>
        <v>19.22</v>
      </c>
      <c r="K119" s="24" t="s">
        <v>475</v>
      </c>
      <c r="L119" s="25">
        <f>+J119</f>
        <v>19.22</v>
      </c>
    </row>
    <row r="120" spans="1:12">
      <c r="A120" s="26">
        <f t="shared" si="9"/>
        <v>30</v>
      </c>
      <c r="B120" s="57">
        <v>200940882</v>
      </c>
      <c r="C120" s="58" t="s">
        <v>145</v>
      </c>
      <c r="D120" s="24">
        <v>2.4</v>
      </c>
      <c r="E120" s="24">
        <v>2.96</v>
      </c>
      <c r="F120" s="24">
        <v>3.06</v>
      </c>
      <c r="G120" s="24">
        <v>2.31</v>
      </c>
      <c r="H120" s="24">
        <v>3.75</v>
      </c>
      <c r="I120" s="24">
        <v>5</v>
      </c>
      <c r="J120" s="24">
        <f t="shared" si="7"/>
        <v>19.48</v>
      </c>
      <c r="K120" s="24" t="s">
        <v>475</v>
      </c>
      <c r="L120" s="25">
        <f>+J120</f>
        <v>19.48</v>
      </c>
    </row>
    <row r="121" spans="1:12">
      <c r="A121" s="26">
        <f t="shared" si="9"/>
        <v>31</v>
      </c>
      <c r="B121" s="45">
        <v>200941031</v>
      </c>
      <c r="C121" s="56" t="s">
        <v>146</v>
      </c>
      <c r="D121" s="24">
        <v>12</v>
      </c>
      <c r="E121" s="24">
        <v>12.01</v>
      </c>
      <c r="F121" s="24">
        <v>9.18</v>
      </c>
      <c r="G121" s="24">
        <v>4.95</v>
      </c>
      <c r="H121" s="24">
        <v>10.75</v>
      </c>
      <c r="I121" s="24">
        <v>5</v>
      </c>
      <c r="J121" s="24">
        <f t="shared" si="7"/>
        <v>53.89</v>
      </c>
      <c r="K121" s="24">
        <v>15</v>
      </c>
      <c r="L121" s="25">
        <f t="shared" si="10"/>
        <v>68.89</v>
      </c>
    </row>
    <row r="122" spans="1:12">
      <c r="A122" s="26">
        <f t="shared" si="9"/>
        <v>32</v>
      </c>
      <c r="B122" s="45">
        <v>200941043</v>
      </c>
      <c r="C122" s="59" t="s">
        <v>147</v>
      </c>
      <c r="D122" s="24">
        <v>6</v>
      </c>
      <c r="E122" s="24">
        <v>8.3699999999999992</v>
      </c>
      <c r="F122" s="24">
        <v>9.52</v>
      </c>
      <c r="G122" s="24">
        <v>6.95</v>
      </c>
      <c r="H122" s="24">
        <v>8</v>
      </c>
      <c r="I122" s="24">
        <v>5</v>
      </c>
      <c r="J122" s="24">
        <f t="shared" si="7"/>
        <v>43.839999999999996</v>
      </c>
      <c r="K122" s="24">
        <v>8.4</v>
      </c>
      <c r="L122" s="25">
        <f t="shared" si="10"/>
        <v>52.239999999999995</v>
      </c>
    </row>
    <row r="123" spans="1:12">
      <c r="A123" s="26">
        <f t="shared" si="9"/>
        <v>33</v>
      </c>
      <c r="B123" s="45">
        <v>200941044</v>
      </c>
      <c r="C123" s="56" t="s">
        <v>148</v>
      </c>
      <c r="D123" s="24">
        <v>6</v>
      </c>
      <c r="E123" s="24">
        <v>10.02</v>
      </c>
      <c r="F123" s="24">
        <v>11.22</v>
      </c>
      <c r="G123" s="24">
        <v>7.93</v>
      </c>
      <c r="H123" s="24">
        <v>13.25</v>
      </c>
      <c r="I123" s="24">
        <v>5</v>
      </c>
      <c r="J123" s="24">
        <f t="shared" si="7"/>
        <v>53.42</v>
      </c>
      <c r="K123" s="24">
        <v>3.3</v>
      </c>
      <c r="L123" s="25">
        <f t="shared" si="10"/>
        <v>56.72</v>
      </c>
    </row>
    <row r="124" spans="1:12">
      <c r="A124" s="26">
        <f t="shared" si="9"/>
        <v>34</v>
      </c>
      <c r="B124" s="57">
        <v>200941046</v>
      </c>
      <c r="C124" s="60" t="s">
        <v>149</v>
      </c>
      <c r="D124" s="24">
        <v>4.8</v>
      </c>
      <c r="E124" s="24">
        <v>12.69</v>
      </c>
      <c r="F124" s="24">
        <v>10.54</v>
      </c>
      <c r="G124" s="24">
        <v>6.94</v>
      </c>
      <c r="H124" s="24">
        <v>10.5</v>
      </c>
      <c r="I124" s="24">
        <v>5</v>
      </c>
      <c r="J124" s="24">
        <f t="shared" si="7"/>
        <v>50.47</v>
      </c>
      <c r="K124" s="24">
        <v>13.5</v>
      </c>
      <c r="L124" s="25">
        <f t="shared" si="10"/>
        <v>63.97</v>
      </c>
    </row>
    <row r="125" spans="1:12">
      <c r="A125" s="26">
        <f t="shared" si="9"/>
        <v>35</v>
      </c>
      <c r="B125" s="57">
        <v>200941422</v>
      </c>
      <c r="C125" s="60" t="s">
        <v>150</v>
      </c>
      <c r="D125" s="24">
        <v>0.75</v>
      </c>
      <c r="E125" s="24">
        <v>2.67</v>
      </c>
      <c r="F125" s="24">
        <v>5.44</v>
      </c>
      <c r="G125" s="24">
        <v>1.98</v>
      </c>
      <c r="H125" s="24">
        <v>0</v>
      </c>
      <c r="I125" s="24">
        <v>0</v>
      </c>
      <c r="J125" s="24">
        <f t="shared" si="7"/>
        <v>10.84</v>
      </c>
      <c r="K125" s="24" t="s">
        <v>475</v>
      </c>
      <c r="L125" s="25">
        <f>+J125</f>
        <v>10.84</v>
      </c>
    </row>
    <row r="126" spans="1:12">
      <c r="A126" s="26">
        <f t="shared" si="9"/>
        <v>36</v>
      </c>
      <c r="B126" s="57">
        <v>200941434</v>
      </c>
      <c r="C126" s="56" t="s">
        <v>151</v>
      </c>
      <c r="D126" s="24">
        <v>3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f t="shared" si="7"/>
        <v>3</v>
      </c>
      <c r="K126" s="24" t="s">
        <v>475</v>
      </c>
      <c r="L126" s="25">
        <f t="shared" ref="L126:L130" si="13">+J126</f>
        <v>3</v>
      </c>
    </row>
    <row r="127" spans="1:12">
      <c r="A127" s="26">
        <f t="shared" si="9"/>
        <v>37</v>
      </c>
      <c r="B127" s="45">
        <v>200941685</v>
      </c>
      <c r="C127" s="56" t="s">
        <v>152</v>
      </c>
      <c r="D127" s="24">
        <v>1.5</v>
      </c>
      <c r="E127" s="24">
        <v>3.35</v>
      </c>
      <c r="F127" s="24">
        <v>5.78</v>
      </c>
      <c r="G127" s="24">
        <v>2.64</v>
      </c>
      <c r="H127" s="24">
        <v>0</v>
      </c>
      <c r="I127" s="24">
        <v>0</v>
      </c>
      <c r="J127" s="24">
        <f t="shared" si="7"/>
        <v>13.27</v>
      </c>
      <c r="K127" s="24" t="s">
        <v>475</v>
      </c>
      <c r="L127" s="25">
        <f t="shared" si="13"/>
        <v>13.27</v>
      </c>
    </row>
    <row r="128" spans="1:12">
      <c r="A128" s="26">
        <f t="shared" si="9"/>
        <v>38</v>
      </c>
      <c r="B128" s="45">
        <v>200941860</v>
      </c>
      <c r="C128" s="59" t="s">
        <v>153</v>
      </c>
      <c r="D128" s="24">
        <v>0.3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f t="shared" si="7"/>
        <v>0.3</v>
      </c>
      <c r="K128" s="24" t="s">
        <v>475</v>
      </c>
      <c r="L128" s="25">
        <f t="shared" si="13"/>
        <v>0.3</v>
      </c>
    </row>
    <row r="129" spans="1:12">
      <c r="A129" s="26">
        <f t="shared" si="9"/>
        <v>39</v>
      </c>
      <c r="B129" s="45">
        <v>200941896</v>
      </c>
      <c r="C129" s="56" t="s">
        <v>443</v>
      </c>
      <c r="D129" s="24">
        <v>1.2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f t="shared" si="7"/>
        <v>1.2</v>
      </c>
      <c r="K129" s="24" t="s">
        <v>475</v>
      </c>
      <c r="L129" s="25">
        <f t="shared" si="13"/>
        <v>1.2</v>
      </c>
    </row>
    <row r="130" spans="1:12">
      <c r="A130" s="26">
        <f t="shared" si="9"/>
        <v>40</v>
      </c>
      <c r="B130" s="45">
        <v>200942657</v>
      </c>
      <c r="C130" s="56" t="s">
        <v>154</v>
      </c>
      <c r="D130" s="24">
        <v>4.5</v>
      </c>
      <c r="E130" s="24">
        <v>3.53</v>
      </c>
      <c r="F130" s="24">
        <v>7.82</v>
      </c>
      <c r="G130" s="24">
        <v>0</v>
      </c>
      <c r="H130" s="24">
        <v>0</v>
      </c>
      <c r="I130" s="24">
        <v>0</v>
      </c>
      <c r="J130" s="24">
        <f t="shared" si="7"/>
        <v>15.85</v>
      </c>
      <c r="K130" s="24" t="s">
        <v>475</v>
      </c>
      <c r="L130" s="25">
        <f t="shared" si="13"/>
        <v>15.85</v>
      </c>
    </row>
    <row r="131" spans="1:12">
      <c r="A131" s="26">
        <f t="shared" si="9"/>
        <v>41</v>
      </c>
      <c r="B131" s="45">
        <v>200942659</v>
      </c>
      <c r="C131" s="56" t="s">
        <v>155</v>
      </c>
      <c r="D131" s="24">
        <v>6.75</v>
      </c>
      <c r="E131" s="24">
        <v>6.2</v>
      </c>
      <c r="F131" s="24">
        <v>8.16</v>
      </c>
      <c r="G131" s="24">
        <v>6.95</v>
      </c>
      <c r="H131" s="24">
        <v>8.5</v>
      </c>
      <c r="I131" s="24">
        <v>5</v>
      </c>
      <c r="J131" s="24">
        <f t="shared" si="7"/>
        <v>41.56</v>
      </c>
      <c r="K131" s="24">
        <v>6.9</v>
      </c>
      <c r="L131" s="25">
        <f t="shared" si="10"/>
        <v>48.46</v>
      </c>
    </row>
    <row r="132" spans="1:12">
      <c r="A132" s="26">
        <f t="shared" si="9"/>
        <v>42</v>
      </c>
      <c r="B132" s="45">
        <v>200942662</v>
      </c>
      <c r="C132" s="56" t="s">
        <v>156</v>
      </c>
      <c r="D132" s="24">
        <v>9.3800000000000008</v>
      </c>
      <c r="E132" s="24">
        <v>4.95</v>
      </c>
      <c r="F132" s="24">
        <v>7.14</v>
      </c>
      <c r="G132" s="24">
        <v>2.64</v>
      </c>
      <c r="H132" s="24">
        <v>10</v>
      </c>
      <c r="I132" s="24">
        <v>5</v>
      </c>
      <c r="J132" s="24">
        <f t="shared" si="7"/>
        <v>39.11</v>
      </c>
      <c r="K132" s="24" t="s">
        <v>475</v>
      </c>
      <c r="L132" s="25">
        <f>+J132</f>
        <v>39.11</v>
      </c>
    </row>
    <row r="133" spans="1:12">
      <c r="A133" s="26">
        <f t="shared" si="9"/>
        <v>43</v>
      </c>
      <c r="B133" s="45">
        <v>200942689</v>
      </c>
      <c r="C133" s="56" t="s">
        <v>157</v>
      </c>
      <c r="D133" s="24">
        <v>3.9</v>
      </c>
      <c r="E133" s="24">
        <v>10.02</v>
      </c>
      <c r="F133" s="24">
        <v>9.52</v>
      </c>
      <c r="G133" s="24">
        <v>6.95</v>
      </c>
      <c r="H133" s="24">
        <v>13.5</v>
      </c>
      <c r="I133" s="24">
        <v>5</v>
      </c>
      <c r="J133" s="24">
        <f t="shared" si="7"/>
        <v>48.889999999999993</v>
      </c>
      <c r="K133" s="24">
        <v>12.9</v>
      </c>
      <c r="L133" s="25">
        <f t="shared" si="10"/>
        <v>61.789999999999992</v>
      </c>
    </row>
    <row r="134" spans="1:12">
      <c r="A134" s="26">
        <f t="shared" si="9"/>
        <v>44</v>
      </c>
      <c r="B134" s="45">
        <v>200942711</v>
      </c>
      <c r="C134" s="56" t="s">
        <v>158</v>
      </c>
      <c r="D134" s="24">
        <v>2.4</v>
      </c>
      <c r="E134" s="24">
        <v>2.96</v>
      </c>
      <c r="F134" s="24">
        <v>8.16</v>
      </c>
      <c r="G134" s="24">
        <v>3.64</v>
      </c>
      <c r="H134" s="24">
        <v>0</v>
      </c>
      <c r="I134" s="24">
        <v>0</v>
      </c>
      <c r="J134" s="24">
        <f t="shared" si="7"/>
        <v>17.16</v>
      </c>
      <c r="K134" s="24" t="s">
        <v>475</v>
      </c>
      <c r="L134" s="25">
        <f>+J134</f>
        <v>17.16</v>
      </c>
    </row>
    <row r="135" spans="1:12">
      <c r="A135" s="26">
        <f t="shared" si="9"/>
        <v>45</v>
      </c>
      <c r="B135" s="45">
        <v>200942840</v>
      </c>
      <c r="C135" s="56" t="s">
        <v>159</v>
      </c>
      <c r="D135" s="24">
        <v>3.6</v>
      </c>
      <c r="E135" s="24">
        <v>7.06</v>
      </c>
      <c r="F135" s="24">
        <v>10.199999999999999</v>
      </c>
      <c r="G135" s="24">
        <v>8.6</v>
      </c>
      <c r="H135" s="24">
        <v>12.25</v>
      </c>
      <c r="I135" s="24">
        <v>5</v>
      </c>
      <c r="J135" s="24">
        <f t="shared" si="7"/>
        <v>46.71</v>
      </c>
      <c r="K135" s="24">
        <v>10.8</v>
      </c>
      <c r="L135" s="25">
        <f t="shared" si="10"/>
        <v>57.510000000000005</v>
      </c>
    </row>
    <row r="136" spans="1:12">
      <c r="A136" s="26">
        <f t="shared" si="9"/>
        <v>46</v>
      </c>
      <c r="B136" s="45">
        <v>200943360</v>
      </c>
      <c r="C136" s="56" t="s">
        <v>160</v>
      </c>
      <c r="D136" s="24">
        <v>0.3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f t="shared" si="7"/>
        <v>0.3</v>
      </c>
      <c r="K136" s="24" t="s">
        <v>475</v>
      </c>
      <c r="L136" s="25">
        <f>+J136</f>
        <v>0.3</v>
      </c>
    </row>
    <row r="137" spans="1:12">
      <c r="A137" s="26">
        <f t="shared" si="9"/>
        <v>47</v>
      </c>
      <c r="B137" s="45">
        <v>200944091</v>
      </c>
      <c r="C137" s="59" t="s">
        <v>161</v>
      </c>
      <c r="D137" s="24">
        <v>3.3</v>
      </c>
      <c r="E137" s="24">
        <v>8.1999999999999993</v>
      </c>
      <c r="F137" s="24">
        <v>8.5</v>
      </c>
      <c r="G137" s="24">
        <v>8.2799999999999994</v>
      </c>
      <c r="H137" s="24">
        <v>9.25</v>
      </c>
      <c r="I137" s="24">
        <v>5</v>
      </c>
      <c r="J137" s="24">
        <f t="shared" si="7"/>
        <v>42.53</v>
      </c>
      <c r="K137" s="24">
        <v>13.8</v>
      </c>
      <c r="L137" s="25">
        <f t="shared" si="10"/>
        <v>56.33</v>
      </c>
    </row>
    <row r="138" spans="1:12">
      <c r="A138" s="26">
        <f t="shared" si="9"/>
        <v>48</v>
      </c>
      <c r="B138" s="45">
        <v>200944093</v>
      </c>
      <c r="C138" s="59" t="s">
        <v>162</v>
      </c>
      <c r="D138" s="24">
        <v>6</v>
      </c>
      <c r="E138" s="24">
        <v>10.3</v>
      </c>
      <c r="F138" s="24">
        <v>9.52</v>
      </c>
      <c r="G138" s="24">
        <v>4.79</v>
      </c>
      <c r="H138" s="24">
        <v>12.75</v>
      </c>
      <c r="I138" s="24">
        <v>5</v>
      </c>
      <c r="J138" s="24">
        <f t="shared" si="7"/>
        <v>48.36</v>
      </c>
      <c r="K138" s="24">
        <v>12.9</v>
      </c>
      <c r="L138" s="25">
        <f t="shared" si="10"/>
        <v>61.26</v>
      </c>
    </row>
    <row r="139" spans="1:12">
      <c r="A139" s="26">
        <f t="shared" si="9"/>
        <v>49</v>
      </c>
      <c r="B139" s="45">
        <v>200944809</v>
      </c>
      <c r="C139" s="56" t="s">
        <v>163</v>
      </c>
      <c r="D139" s="24">
        <v>4.8</v>
      </c>
      <c r="E139" s="24">
        <v>5.92</v>
      </c>
      <c r="F139" s="24">
        <v>4.08</v>
      </c>
      <c r="G139" s="24">
        <v>0</v>
      </c>
      <c r="H139" s="24">
        <v>0</v>
      </c>
      <c r="I139" s="24">
        <v>0</v>
      </c>
      <c r="J139" s="24">
        <f t="shared" si="7"/>
        <v>14.8</v>
      </c>
      <c r="K139" s="24" t="s">
        <v>475</v>
      </c>
      <c r="L139" s="25">
        <f>+J139</f>
        <v>14.8</v>
      </c>
    </row>
    <row r="140" spans="1:12">
      <c r="A140" s="26">
        <f t="shared" si="9"/>
        <v>50</v>
      </c>
      <c r="B140" s="45">
        <v>200944811</v>
      </c>
      <c r="C140" s="59" t="s">
        <v>164</v>
      </c>
      <c r="D140" s="24">
        <v>0.9</v>
      </c>
      <c r="E140" s="24">
        <v>4.53</v>
      </c>
      <c r="F140" s="24">
        <v>5.44</v>
      </c>
      <c r="G140" s="24">
        <v>4.79</v>
      </c>
      <c r="H140" s="24">
        <v>0.25</v>
      </c>
      <c r="I140" s="24">
        <v>5</v>
      </c>
      <c r="J140" s="24">
        <f t="shared" si="7"/>
        <v>20.91</v>
      </c>
      <c r="K140" s="24" t="s">
        <v>475</v>
      </c>
      <c r="L140" s="25">
        <f>+J140</f>
        <v>20.91</v>
      </c>
    </row>
    <row r="141" spans="1:12">
      <c r="A141" s="26">
        <f t="shared" si="9"/>
        <v>51</v>
      </c>
      <c r="B141" s="45">
        <v>200945123</v>
      </c>
      <c r="C141" s="59" t="s">
        <v>165</v>
      </c>
      <c r="D141" s="24">
        <v>6.38</v>
      </c>
      <c r="E141" s="24">
        <v>7.91</v>
      </c>
      <c r="F141" s="24">
        <v>11.22</v>
      </c>
      <c r="G141" s="24">
        <v>6.94</v>
      </c>
      <c r="H141" s="24">
        <v>12.25</v>
      </c>
      <c r="I141" s="24">
        <v>5</v>
      </c>
      <c r="J141" s="24">
        <f t="shared" si="7"/>
        <v>49.70000000000001</v>
      </c>
      <c r="K141" s="24">
        <v>12.3</v>
      </c>
      <c r="L141" s="25">
        <f t="shared" si="10"/>
        <v>62.000000000000014</v>
      </c>
    </row>
    <row r="142" spans="1:12">
      <c r="A142" s="26">
        <f t="shared" si="9"/>
        <v>52</v>
      </c>
      <c r="B142" s="45">
        <v>200945126</v>
      </c>
      <c r="C142" s="59" t="s">
        <v>166</v>
      </c>
      <c r="D142" s="24">
        <v>4.88</v>
      </c>
      <c r="E142" s="24">
        <v>1.99</v>
      </c>
      <c r="F142" s="24">
        <v>5.78</v>
      </c>
      <c r="G142" s="24">
        <v>0</v>
      </c>
      <c r="H142" s="24">
        <v>0</v>
      </c>
      <c r="I142" s="24">
        <v>0</v>
      </c>
      <c r="J142" s="24">
        <f t="shared" si="7"/>
        <v>12.65</v>
      </c>
      <c r="K142" s="24" t="s">
        <v>475</v>
      </c>
      <c r="L142" s="25">
        <f>+J142</f>
        <v>12.65</v>
      </c>
    </row>
    <row r="143" spans="1:12">
      <c r="A143" s="26">
        <f t="shared" si="9"/>
        <v>53</v>
      </c>
      <c r="B143" s="57">
        <v>200980007</v>
      </c>
      <c r="C143" s="58" t="s">
        <v>167</v>
      </c>
      <c r="D143" s="24">
        <v>9</v>
      </c>
      <c r="E143" s="24">
        <v>9.85</v>
      </c>
      <c r="F143" s="24">
        <v>10.8</v>
      </c>
      <c r="G143" s="24">
        <v>10.92</v>
      </c>
      <c r="H143" s="24">
        <v>10.25</v>
      </c>
      <c r="I143" s="24">
        <v>5</v>
      </c>
      <c r="J143" s="24">
        <f t="shared" si="7"/>
        <v>55.82</v>
      </c>
      <c r="K143" s="24">
        <v>9.9</v>
      </c>
      <c r="L143" s="25">
        <f t="shared" si="10"/>
        <v>65.72</v>
      </c>
    </row>
    <row r="144" spans="1:12">
      <c r="A144" s="29"/>
      <c r="B144" s="29"/>
      <c r="C144" s="30"/>
      <c r="D144" s="31"/>
      <c r="E144" s="31"/>
      <c r="F144" s="31"/>
      <c r="G144" s="31"/>
      <c r="H144" s="31"/>
      <c r="I144" s="31"/>
      <c r="J144" s="31"/>
      <c r="K144" s="31"/>
      <c r="L144" s="32"/>
    </row>
    <row r="145" spans="1:12">
      <c r="A145" s="29"/>
      <c r="B145" s="29"/>
      <c r="C145" s="30"/>
      <c r="D145" s="31"/>
      <c r="E145" s="31"/>
      <c r="F145" s="31"/>
      <c r="G145" s="31"/>
      <c r="H145" s="31"/>
      <c r="I145" s="31"/>
      <c r="J145" s="31"/>
      <c r="K145" s="31"/>
      <c r="L145" s="32"/>
    </row>
    <row r="146" spans="1:12" ht="17.25" thickBot="1">
      <c r="A146" s="33"/>
      <c r="B146" s="33"/>
      <c r="C146" s="34"/>
      <c r="D146" s="31"/>
      <c r="E146" s="31"/>
      <c r="F146" s="31"/>
      <c r="G146" s="31"/>
      <c r="H146" s="35"/>
      <c r="I146" s="35"/>
      <c r="J146" s="35"/>
      <c r="K146" s="9"/>
      <c r="L146" s="32"/>
    </row>
    <row r="147" spans="1:12">
      <c r="H147" s="100" t="s">
        <v>473</v>
      </c>
      <c r="I147" s="100"/>
      <c r="J147" s="100"/>
      <c r="L147" s="1"/>
    </row>
    <row r="148" spans="1:12">
      <c r="D148" s="36"/>
      <c r="H148" s="100" t="s">
        <v>21</v>
      </c>
      <c r="I148" s="100"/>
      <c r="J148" s="100"/>
      <c r="L148" s="1"/>
    </row>
    <row r="149" spans="1:12">
      <c r="D149" s="36"/>
      <c r="H149" s="100" t="s">
        <v>471</v>
      </c>
      <c r="I149" s="100"/>
      <c r="J149" s="100"/>
      <c r="L149" s="1"/>
    </row>
    <row r="157" spans="1:12" ht="17.25" thickBot="1">
      <c r="A157" s="1" t="s">
        <v>0</v>
      </c>
      <c r="I157" s="3"/>
    </row>
    <row r="158" spans="1:12">
      <c r="A158" s="1" t="s">
        <v>1</v>
      </c>
      <c r="F158" s="4"/>
      <c r="G158" s="5"/>
      <c r="H158" s="6"/>
      <c r="I158" s="7"/>
    </row>
    <row r="159" spans="1:12">
      <c r="A159" s="8" t="s">
        <v>2</v>
      </c>
      <c r="B159" s="9"/>
      <c r="E159" s="7"/>
      <c r="F159" s="10"/>
      <c r="G159" s="11"/>
      <c r="H159" s="12"/>
      <c r="I159" s="7"/>
    </row>
    <row r="160" spans="1:12" ht="17.25" thickBot="1">
      <c r="A160" s="13" t="s">
        <v>3</v>
      </c>
      <c r="B160" s="9"/>
      <c r="E160" s="7"/>
      <c r="F160" s="10"/>
      <c r="G160" s="11"/>
      <c r="H160" s="12"/>
      <c r="I160" s="7"/>
    </row>
    <row r="161" spans="1:12" ht="17.25" thickBot="1">
      <c r="A161" s="14" t="s">
        <v>22</v>
      </c>
      <c r="B161" s="15"/>
      <c r="C161" s="16"/>
      <c r="E161" s="7"/>
      <c r="F161" s="17"/>
      <c r="G161" s="18"/>
      <c r="H161" s="19"/>
      <c r="I161" s="7"/>
    </row>
    <row r="162" spans="1:12">
      <c r="A162" s="8"/>
      <c r="B162" s="9"/>
      <c r="E162" s="7"/>
      <c r="I162" s="3"/>
    </row>
    <row r="163" spans="1:12">
      <c r="A163" s="1" t="s">
        <v>91</v>
      </c>
      <c r="B163" s="9"/>
      <c r="C163" s="20" t="s">
        <v>168</v>
      </c>
      <c r="E163" s="7"/>
      <c r="I163" s="3"/>
    </row>
    <row r="164" spans="1:12">
      <c r="A164" s="1" t="s">
        <v>4</v>
      </c>
      <c r="C164" s="20" t="s">
        <v>468</v>
      </c>
      <c r="I164" s="3"/>
    </row>
    <row r="165" spans="1:12">
      <c r="A165" s="1" t="s">
        <v>5</v>
      </c>
      <c r="C165" s="20" t="s">
        <v>472</v>
      </c>
    </row>
    <row r="166" spans="1:12">
      <c r="A166" s="21"/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2">
      <c r="A167" s="1"/>
      <c r="C167" s="22" t="s">
        <v>6</v>
      </c>
      <c r="D167" s="22" t="s">
        <v>93</v>
      </c>
      <c r="E167" s="22" t="s">
        <v>93</v>
      </c>
      <c r="F167" s="22" t="s">
        <v>93</v>
      </c>
      <c r="G167" s="22" t="s">
        <v>93</v>
      </c>
      <c r="H167" s="22" t="s">
        <v>93</v>
      </c>
      <c r="I167" s="22" t="s">
        <v>94</v>
      </c>
      <c r="J167" s="22" t="s">
        <v>8</v>
      </c>
      <c r="K167" s="22" t="s">
        <v>7</v>
      </c>
      <c r="L167" s="22" t="s">
        <v>9</v>
      </c>
    </row>
    <row r="168" spans="1:12">
      <c r="A168" s="22" t="s">
        <v>10</v>
      </c>
      <c r="B168" s="22" t="s">
        <v>11</v>
      </c>
      <c r="C168" s="22" t="s">
        <v>12</v>
      </c>
      <c r="D168" s="22" t="s">
        <v>13</v>
      </c>
      <c r="E168" s="22" t="s">
        <v>14</v>
      </c>
      <c r="F168" s="22" t="s">
        <v>15</v>
      </c>
      <c r="G168" s="22" t="s">
        <v>16</v>
      </c>
      <c r="H168" s="22" t="s">
        <v>17</v>
      </c>
      <c r="I168" s="22" t="s">
        <v>95</v>
      </c>
      <c r="J168" s="22" t="s">
        <v>18</v>
      </c>
      <c r="K168" s="22" t="s">
        <v>19</v>
      </c>
      <c r="L168" s="22" t="s">
        <v>20</v>
      </c>
    </row>
    <row r="169" spans="1:12">
      <c r="A169" s="23">
        <v>1</v>
      </c>
      <c r="B169" s="45">
        <v>200780031</v>
      </c>
      <c r="C169" s="59" t="s">
        <v>171</v>
      </c>
      <c r="D169" s="24">
        <v>3</v>
      </c>
      <c r="E169" s="24" t="s">
        <v>432</v>
      </c>
      <c r="F169" s="24">
        <v>10.199999999999999</v>
      </c>
      <c r="G169" s="24">
        <v>9.25</v>
      </c>
      <c r="H169" s="24">
        <v>13.55</v>
      </c>
      <c r="I169" s="24">
        <v>5</v>
      </c>
      <c r="J169" s="24">
        <f>+I169+H169+G169+F169+D169</f>
        <v>41</v>
      </c>
      <c r="K169" s="24">
        <v>6.3</v>
      </c>
      <c r="L169" s="25">
        <f>+K169+J169</f>
        <v>47.3</v>
      </c>
    </row>
    <row r="170" spans="1:12">
      <c r="A170" s="26">
        <f>1+A169</f>
        <v>2</v>
      </c>
      <c r="B170" s="57">
        <v>200840189</v>
      </c>
      <c r="C170" s="60" t="s">
        <v>173</v>
      </c>
      <c r="D170" s="24">
        <v>1.2</v>
      </c>
      <c r="E170" s="24">
        <v>0.28499999999999998</v>
      </c>
      <c r="F170" s="24">
        <v>2.72</v>
      </c>
      <c r="G170" s="24">
        <v>2.97</v>
      </c>
      <c r="H170" s="24">
        <v>0</v>
      </c>
      <c r="I170" s="24">
        <v>0</v>
      </c>
      <c r="J170" s="24">
        <f t="shared" ref="J170:J222" si="14">+I170+H170+G170+F170+E170+D170</f>
        <v>7.1750000000000007</v>
      </c>
      <c r="K170" s="24" t="s">
        <v>475</v>
      </c>
      <c r="L170" s="25">
        <f t="shared" ref="L170:L174" si="15">+J170</f>
        <v>7.1750000000000007</v>
      </c>
    </row>
    <row r="171" spans="1:12">
      <c r="A171" s="26">
        <f t="shared" ref="A171:A222" si="16">1+A170</f>
        <v>3</v>
      </c>
      <c r="B171" s="57">
        <v>200840193</v>
      </c>
      <c r="C171" s="56" t="s">
        <v>175</v>
      </c>
      <c r="D171" s="24">
        <v>3</v>
      </c>
      <c r="E171" s="24">
        <v>4</v>
      </c>
      <c r="F171" s="24">
        <v>8.84</v>
      </c>
      <c r="G171" s="24">
        <f>+H171</f>
        <v>10.75</v>
      </c>
      <c r="H171" s="24">
        <v>10.75</v>
      </c>
      <c r="I171" s="24">
        <v>5</v>
      </c>
      <c r="J171" s="24">
        <f t="shared" si="14"/>
        <v>42.34</v>
      </c>
      <c r="K171" s="24">
        <v>5.0999999999999996</v>
      </c>
      <c r="L171" s="25">
        <f>+K171+J171</f>
        <v>47.440000000000005</v>
      </c>
    </row>
    <row r="172" spans="1:12">
      <c r="A172" s="26">
        <f t="shared" si="16"/>
        <v>4</v>
      </c>
      <c r="B172" s="45">
        <v>200840202</v>
      </c>
      <c r="C172" s="59" t="s">
        <v>176</v>
      </c>
      <c r="D172" s="24">
        <v>2.4</v>
      </c>
      <c r="E172" s="24">
        <v>2.2799999999999998</v>
      </c>
      <c r="F172" s="24">
        <v>8.16</v>
      </c>
      <c r="G172" s="24">
        <v>6.28</v>
      </c>
      <c r="H172" s="24">
        <v>0</v>
      </c>
      <c r="I172" s="24">
        <v>0</v>
      </c>
      <c r="J172" s="24">
        <f t="shared" si="14"/>
        <v>19.12</v>
      </c>
      <c r="K172" s="24" t="s">
        <v>475</v>
      </c>
      <c r="L172" s="25">
        <f t="shared" si="15"/>
        <v>19.12</v>
      </c>
    </row>
    <row r="173" spans="1:12">
      <c r="A173" s="26">
        <f t="shared" si="16"/>
        <v>5</v>
      </c>
      <c r="B173" s="45">
        <v>200842064</v>
      </c>
      <c r="C173" s="56" t="s">
        <v>179</v>
      </c>
      <c r="D173" s="24">
        <v>0.3</v>
      </c>
      <c r="E173" s="24">
        <v>4.42</v>
      </c>
      <c r="F173" s="24">
        <v>4.42</v>
      </c>
      <c r="G173" s="24">
        <v>0</v>
      </c>
      <c r="H173" s="24">
        <v>0</v>
      </c>
      <c r="I173" s="24">
        <v>0</v>
      </c>
      <c r="J173" s="24">
        <f t="shared" si="14"/>
        <v>9.14</v>
      </c>
      <c r="K173" s="24" t="s">
        <v>475</v>
      </c>
      <c r="L173" s="25">
        <f t="shared" si="15"/>
        <v>9.14</v>
      </c>
    </row>
    <row r="174" spans="1:12">
      <c r="A174" s="26">
        <f t="shared" si="16"/>
        <v>6</v>
      </c>
      <c r="B174" s="45">
        <v>200842096</v>
      </c>
      <c r="C174" s="56" t="s">
        <v>180</v>
      </c>
      <c r="D174" s="24">
        <v>0.9</v>
      </c>
      <c r="E174" s="24">
        <v>3.24</v>
      </c>
      <c r="F174" s="24">
        <v>7.14</v>
      </c>
      <c r="G174" s="24">
        <v>7.29</v>
      </c>
      <c r="H174" s="24">
        <v>4</v>
      </c>
      <c r="I174" s="24">
        <v>5</v>
      </c>
      <c r="J174" s="24">
        <f t="shared" si="14"/>
        <v>27.57</v>
      </c>
      <c r="K174" s="24" t="s">
        <v>475</v>
      </c>
      <c r="L174" s="25">
        <f t="shared" si="15"/>
        <v>27.57</v>
      </c>
    </row>
    <row r="175" spans="1:12">
      <c r="A175" s="26">
        <f t="shared" si="16"/>
        <v>7</v>
      </c>
      <c r="B175" s="45">
        <v>200842099</v>
      </c>
      <c r="C175" s="56" t="s">
        <v>181</v>
      </c>
      <c r="D175" s="24">
        <v>4.5</v>
      </c>
      <c r="E175" s="24">
        <v>8.77</v>
      </c>
      <c r="F175" s="24">
        <v>12.24</v>
      </c>
      <c r="G175" s="24">
        <v>7.29</v>
      </c>
      <c r="H175" s="24">
        <v>11.75</v>
      </c>
      <c r="I175" s="24">
        <v>5</v>
      </c>
      <c r="J175" s="24">
        <f t="shared" si="14"/>
        <v>49.55</v>
      </c>
      <c r="K175" s="24">
        <v>13.2</v>
      </c>
      <c r="L175" s="25">
        <f t="shared" ref="L175:L200" si="17">+K175+J175</f>
        <v>62.75</v>
      </c>
    </row>
    <row r="176" spans="1:12">
      <c r="A176" s="26">
        <f t="shared" si="16"/>
        <v>8</v>
      </c>
      <c r="B176" s="45">
        <v>200842121</v>
      </c>
      <c r="C176" s="59" t="s">
        <v>183</v>
      </c>
      <c r="D176" s="24">
        <v>1.8</v>
      </c>
      <c r="E176" s="24">
        <v>7.74</v>
      </c>
      <c r="F176" s="24">
        <v>5.78</v>
      </c>
      <c r="G176" s="24">
        <v>0</v>
      </c>
      <c r="H176" s="24">
        <v>0</v>
      </c>
      <c r="I176" s="24">
        <v>0</v>
      </c>
      <c r="J176" s="24">
        <f t="shared" si="14"/>
        <v>15.32</v>
      </c>
      <c r="K176" s="24" t="s">
        <v>475</v>
      </c>
      <c r="L176" s="25">
        <f>+J176</f>
        <v>15.32</v>
      </c>
    </row>
    <row r="177" spans="1:12">
      <c r="A177" s="26">
        <f t="shared" si="16"/>
        <v>9</v>
      </c>
      <c r="B177" s="45">
        <v>200842378</v>
      </c>
      <c r="C177" s="56" t="s">
        <v>184</v>
      </c>
      <c r="D177" s="24">
        <v>0</v>
      </c>
      <c r="E177" s="24">
        <v>6.2</v>
      </c>
      <c r="F177" s="24">
        <v>7.82</v>
      </c>
      <c r="G177" s="24">
        <v>2.98</v>
      </c>
      <c r="H177" s="24">
        <v>4</v>
      </c>
      <c r="I177" s="24">
        <v>5</v>
      </c>
      <c r="J177" s="24">
        <f t="shared" si="14"/>
        <v>26</v>
      </c>
      <c r="K177" s="24" t="s">
        <v>475</v>
      </c>
      <c r="L177" s="25">
        <f t="shared" ref="L177:L190" si="18">+J177</f>
        <v>26</v>
      </c>
    </row>
    <row r="178" spans="1:12">
      <c r="A178" s="26">
        <f t="shared" si="16"/>
        <v>10</v>
      </c>
      <c r="B178" s="57">
        <v>200843337</v>
      </c>
      <c r="C178" s="56" t="s">
        <v>188</v>
      </c>
      <c r="D178" s="24">
        <v>1.5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f t="shared" si="14"/>
        <v>1.5</v>
      </c>
      <c r="K178" s="24" t="s">
        <v>475</v>
      </c>
      <c r="L178" s="25">
        <f t="shared" si="18"/>
        <v>1.5</v>
      </c>
    </row>
    <row r="179" spans="1:12">
      <c r="A179" s="26">
        <f t="shared" si="16"/>
        <v>11</v>
      </c>
      <c r="B179" s="45">
        <v>200843789</v>
      </c>
      <c r="C179" s="56" t="s">
        <v>189</v>
      </c>
      <c r="D179" s="24">
        <v>2.1</v>
      </c>
      <c r="E179" s="24">
        <v>6.77</v>
      </c>
      <c r="F179" s="24">
        <v>9.52</v>
      </c>
      <c r="G179" s="24">
        <v>7.28</v>
      </c>
      <c r="H179" s="24">
        <v>7.5</v>
      </c>
      <c r="I179" s="24">
        <v>5</v>
      </c>
      <c r="J179" s="24">
        <f t="shared" si="14"/>
        <v>38.17</v>
      </c>
      <c r="K179" s="24" t="s">
        <v>475</v>
      </c>
      <c r="L179" s="25">
        <f t="shared" si="18"/>
        <v>38.17</v>
      </c>
    </row>
    <row r="180" spans="1:12">
      <c r="A180" s="26">
        <f t="shared" si="16"/>
        <v>12</v>
      </c>
      <c r="B180" s="45">
        <v>200880002</v>
      </c>
      <c r="C180" s="56" t="s">
        <v>190</v>
      </c>
      <c r="D180" s="24">
        <v>2.7</v>
      </c>
      <c r="E180" s="24">
        <v>3.81</v>
      </c>
      <c r="F180" s="24">
        <v>9.18</v>
      </c>
      <c r="G180" s="24">
        <v>6.61</v>
      </c>
      <c r="H180" s="24">
        <v>0</v>
      </c>
      <c r="I180" s="24">
        <v>0</v>
      </c>
      <c r="J180" s="24">
        <f t="shared" si="14"/>
        <v>22.299999999999997</v>
      </c>
      <c r="K180" s="24" t="s">
        <v>475</v>
      </c>
      <c r="L180" s="25">
        <f t="shared" si="18"/>
        <v>22.299999999999997</v>
      </c>
    </row>
    <row r="181" spans="1:12">
      <c r="A181" s="26">
        <f t="shared" si="16"/>
        <v>13</v>
      </c>
      <c r="B181" s="45">
        <v>200940337</v>
      </c>
      <c r="C181" s="56" t="s">
        <v>191</v>
      </c>
      <c r="D181" s="24">
        <v>1.2</v>
      </c>
      <c r="E181" s="24">
        <v>5.0599999999999996</v>
      </c>
      <c r="F181" s="24">
        <v>4.42</v>
      </c>
      <c r="G181" s="24">
        <v>4.96</v>
      </c>
      <c r="H181" s="28">
        <v>7</v>
      </c>
      <c r="I181" s="28">
        <v>5</v>
      </c>
      <c r="J181" s="24">
        <f t="shared" si="14"/>
        <v>27.64</v>
      </c>
      <c r="K181" s="24" t="s">
        <v>475</v>
      </c>
      <c r="L181" s="25">
        <f t="shared" si="18"/>
        <v>27.64</v>
      </c>
    </row>
    <row r="182" spans="1:12">
      <c r="A182" s="26">
        <f t="shared" si="16"/>
        <v>14</v>
      </c>
      <c r="B182" s="57">
        <v>200940341</v>
      </c>
      <c r="C182" s="60" t="s">
        <v>192</v>
      </c>
      <c r="D182" s="24">
        <v>1.8</v>
      </c>
      <c r="E182" s="24">
        <v>8.1999999999999993</v>
      </c>
      <c r="F182" s="24">
        <v>9.52</v>
      </c>
      <c r="G182" s="24">
        <v>6.95</v>
      </c>
      <c r="H182" s="28">
        <v>6.75</v>
      </c>
      <c r="I182" s="28">
        <v>5</v>
      </c>
      <c r="J182" s="24">
        <f t="shared" si="14"/>
        <v>38.22</v>
      </c>
      <c r="K182" s="24" t="s">
        <v>475</v>
      </c>
      <c r="L182" s="25">
        <f t="shared" si="18"/>
        <v>38.22</v>
      </c>
    </row>
    <row r="183" spans="1:12">
      <c r="A183" s="26">
        <f t="shared" si="16"/>
        <v>15</v>
      </c>
      <c r="B183" s="45">
        <v>200940351</v>
      </c>
      <c r="C183" s="56" t="s">
        <v>193</v>
      </c>
      <c r="D183" s="24">
        <v>0.3</v>
      </c>
      <c r="E183" s="24">
        <v>2.96</v>
      </c>
      <c r="F183" s="24">
        <v>5.78</v>
      </c>
      <c r="G183" s="24">
        <v>0.33</v>
      </c>
      <c r="H183" s="28">
        <v>0</v>
      </c>
      <c r="I183" s="28">
        <v>0</v>
      </c>
      <c r="J183" s="24">
        <f t="shared" si="14"/>
        <v>9.370000000000001</v>
      </c>
      <c r="K183" s="24" t="s">
        <v>475</v>
      </c>
      <c r="L183" s="25">
        <f t="shared" si="18"/>
        <v>9.370000000000001</v>
      </c>
    </row>
    <row r="184" spans="1:12">
      <c r="A184" s="26">
        <f t="shared" si="16"/>
        <v>16</v>
      </c>
      <c r="B184" s="45">
        <v>200940362</v>
      </c>
      <c r="C184" s="58" t="s">
        <v>194</v>
      </c>
      <c r="D184" s="24">
        <v>0</v>
      </c>
      <c r="E184" s="24">
        <v>0.56999999999999995</v>
      </c>
      <c r="F184" s="24">
        <v>4.08</v>
      </c>
      <c r="G184" s="24">
        <v>0</v>
      </c>
      <c r="H184" s="28">
        <v>0</v>
      </c>
      <c r="I184" s="28">
        <v>5</v>
      </c>
      <c r="J184" s="24">
        <f t="shared" si="14"/>
        <v>9.65</v>
      </c>
      <c r="K184" s="24" t="s">
        <v>475</v>
      </c>
      <c r="L184" s="25">
        <f t="shared" si="18"/>
        <v>9.65</v>
      </c>
    </row>
    <row r="185" spans="1:12">
      <c r="A185" s="26">
        <f t="shared" si="16"/>
        <v>17</v>
      </c>
      <c r="B185" s="45">
        <v>200940369</v>
      </c>
      <c r="C185" s="56" t="s">
        <v>195</v>
      </c>
      <c r="D185" s="24">
        <v>0.9</v>
      </c>
      <c r="E185" s="24" t="s">
        <v>432</v>
      </c>
      <c r="F185" s="24">
        <v>0</v>
      </c>
      <c r="G185" s="24">
        <v>0</v>
      </c>
      <c r="H185" s="24">
        <v>0</v>
      </c>
      <c r="I185" s="24">
        <v>0</v>
      </c>
      <c r="J185" s="24">
        <f>+I185+H185+G185+F185+D185</f>
        <v>0.9</v>
      </c>
      <c r="K185" s="24" t="s">
        <v>475</v>
      </c>
      <c r="L185" s="25">
        <f t="shared" si="18"/>
        <v>0.9</v>
      </c>
    </row>
    <row r="186" spans="1:12">
      <c r="A186" s="26">
        <f t="shared" si="16"/>
        <v>18</v>
      </c>
      <c r="B186" s="45">
        <v>200940429</v>
      </c>
      <c r="C186" s="56" t="s">
        <v>196</v>
      </c>
      <c r="D186" s="24">
        <v>0</v>
      </c>
      <c r="E186" s="24">
        <v>2.2799999999999998</v>
      </c>
      <c r="F186" s="24">
        <v>4.08</v>
      </c>
      <c r="G186" s="24">
        <v>0.66</v>
      </c>
      <c r="H186" s="24">
        <v>0</v>
      </c>
      <c r="I186" s="24">
        <v>0</v>
      </c>
      <c r="J186" s="24">
        <f t="shared" si="14"/>
        <v>7.02</v>
      </c>
      <c r="K186" s="24" t="s">
        <v>475</v>
      </c>
      <c r="L186" s="25">
        <f t="shared" si="18"/>
        <v>7.02</v>
      </c>
    </row>
    <row r="187" spans="1:12">
      <c r="A187" s="26">
        <f t="shared" si="16"/>
        <v>19</v>
      </c>
      <c r="B187" s="57">
        <v>200940430</v>
      </c>
      <c r="C187" s="60" t="s">
        <v>197</v>
      </c>
      <c r="D187" s="24">
        <v>0</v>
      </c>
      <c r="E187" s="24">
        <v>8.02</v>
      </c>
      <c r="F187" s="24">
        <v>8.5</v>
      </c>
      <c r="G187" s="24">
        <v>5.28</v>
      </c>
      <c r="H187" s="24">
        <v>7.5</v>
      </c>
      <c r="I187" s="24">
        <v>5</v>
      </c>
      <c r="J187" s="24">
        <f t="shared" si="14"/>
        <v>34.299999999999997</v>
      </c>
      <c r="K187" s="24" t="s">
        <v>475</v>
      </c>
      <c r="L187" s="25">
        <f t="shared" si="18"/>
        <v>34.299999999999997</v>
      </c>
    </row>
    <row r="188" spans="1:12">
      <c r="A188" s="26">
        <f t="shared" si="16"/>
        <v>20</v>
      </c>
      <c r="B188" s="45">
        <v>200940506</v>
      </c>
      <c r="C188" s="56" t="s">
        <v>198</v>
      </c>
      <c r="D188" s="24">
        <v>3.6</v>
      </c>
      <c r="E188" s="24">
        <v>6.5</v>
      </c>
      <c r="F188" s="24">
        <v>7.48</v>
      </c>
      <c r="G188" s="24">
        <v>5.63</v>
      </c>
      <c r="H188" s="24">
        <v>4.5</v>
      </c>
      <c r="I188" s="24">
        <v>5</v>
      </c>
      <c r="J188" s="24">
        <f t="shared" si="14"/>
        <v>32.71</v>
      </c>
      <c r="K188" s="24" t="s">
        <v>475</v>
      </c>
      <c r="L188" s="25">
        <f t="shared" si="18"/>
        <v>32.71</v>
      </c>
    </row>
    <row r="189" spans="1:12">
      <c r="A189" s="26">
        <f t="shared" si="16"/>
        <v>21</v>
      </c>
      <c r="B189" s="57">
        <v>200940516</v>
      </c>
      <c r="C189" s="58" t="s">
        <v>199</v>
      </c>
      <c r="D189" s="24">
        <v>0</v>
      </c>
      <c r="E189" s="24">
        <v>3.7</v>
      </c>
      <c r="F189" s="24">
        <v>6.8</v>
      </c>
      <c r="G189" s="24">
        <v>3.31</v>
      </c>
      <c r="H189" s="24">
        <v>5</v>
      </c>
      <c r="I189" s="24">
        <v>5</v>
      </c>
      <c r="J189" s="24">
        <f t="shared" si="14"/>
        <v>23.81</v>
      </c>
      <c r="K189" s="24" t="s">
        <v>475</v>
      </c>
      <c r="L189" s="25">
        <f t="shared" si="18"/>
        <v>23.81</v>
      </c>
    </row>
    <row r="190" spans="1:12">
      <c r="A190" s="26">
        <f t="shared" si="16"/>
        <v>22</v>
      </c>
      <c r="B190" s="45">
        <v>200940519</v>
      </c>
      <c r="C190" s="56" t="s">
        <v>200</v>
      </c>
      <c r="D190" s="24">
        <v>0</v>
      </c>
      <c r="E190" s="24">
        <v>5.24</v>
      </c>
      <c r="F190" s="24">
        <v>3.06</v>
      </c>
      <c r="G190" s="24">
        <v>4.63</v>
      </c>
      <c r="H190" s="24">
        <v>3</v>
      </c>
      <c r="I190" s="24">
        <v>5</v>
      </c>
      <c r="J190" s="24">
        <f t="shared" si="14"/>
        <v>20.93</v>
      </c>
      <c r="K190" s="24" t="s">
        <v>475</v>
      </c>
      <c r="L190" s="25">
        <f t="shared" si="18"/>
        <v>20.93</v>
      </c>
    </row>
    <row r="191" spans="1:12">
      <c r="A191" s="26">
        <f t="shared" si="16"/>
        <v>23</v>
      </c>
      <c r="B191" s="45">
        <v>200940521</v>
      </c>
      <c r="C191" s="56" t="s">
        <v>201</v>
      </c>
      <c r="D191" s="24">
        <v>3.3</v>
      </c>
      <c r="E191" s="24">
        <v>10.98</v>
      </c>
      <c r="F191" s="24">
        <v>9.52</v>
      </c>
      <c r="G191" s="24">
        <v>7.95</v>
      </c>
      <c r="H191" s="24">
        <v>10</v>
      </c>
      <c r="I191" s="24">
        <v>5</v>
      </c>
      <c r="J191" s="24">
        <f t="shared" si="14"/>
        <v>46.75</v>
      </c>
      <c r="K191" s="24">
        <v>14.8</v>
      </c>
      <c r="L191" s="25">
        <f t="shared" si="17"/>
        <v>61.55</v>
      </c>
    </row>
    <row r="192" spans="1:12">
      <c r="A192" s="26">
        <f t="shared" si="16"/>
        <v>24</v>
      </c>
      <c r="B192" s="57">
        <v>200940523</v>
      </c>
      <c r="C192" s="60" t="s">
        <v>202</v>
      </c>
      <c r="D192" s="24">
        <v>0.6</v>
      </c>
      <c r="E192" s="24">
        <v>1.1399999999999999</v>
      </c>
      <c r="F192" s="24">
        <v>4.08</v>
      </c>
      <c r="G192" s="24">
        <v>0.66</v>
      </c>
      <c r="H192" s="24">
        <v>0</v>
      </c>
      <c r="I192" s="24">
        <v>0</v>
      </c>
      <c r="J192" s="24">
        <f t="shared" si="14"/>
        <v>6.4799999999999995</v>
      </c>
      <c r="K192" s="24" t="s">
        <v>475</v>
      </c>
      <c r="L192" s="25">
        <f>+J192</f>
        <v>6.4799999999999995</v>
      </c>
    </row>
    <row r="193" spans="1:12">
      <c r="A193" s="26">
        <f t="shared" si="16"/>
        <v>25</v>
      </c>
      <c r="B193" s="45">
        <v>200940739</v>
      </c>
      <c r="C193" s="56" t="s">
        <v>203</v>
      </c>
      <c r="D193" s="24">
        <v>0.3</v>
      </c>
      <c r="E193" s="24">
        <v>2.8500000000000001E-2</v>
      </c>
      <c r="F193" s="24">
        <v>5.44</v>
      </c>
      <c r="G193" s="24">
        <v>1.98</v>
      </c>
      <c r="H193" s="24">
        <v>4.75</v>
      </c>
      <c r="I193" s="24">
        <v>5</v>
      </c>
      <c r="J193" s="24">
        <f t="shared" si="14"/>
        <v>17.498500000000003</v>
      </c>
      <c r="K193" s="24" t="s">
        <v>475</v>
      </c>
      <c r="L193" s="25">
        <f t="shared" ref="L193:L196" si="19">+J193</f>
        <v>17.498500000000003</v>
      </c>
    </row>
    <row r="194" spans="1:12">
      <c r="A194" s="26">
        <f t="shared" si="16"/>
        <v>26</v>
      </c>
      <c r="B194" s="45">
        <v>200941008</v>
      </c>
      <c r="C194" s="59" t="s">
        <v>204</v>
      </c>
      <c r="D194" s="24">
        <v>0</v>
      </c>
      <c r="E194" s="24">
        <v>3.58</v>
      </c>
      <c r="F194" s="24">
        <v>4.08</v>
      </c>
      <c r="G194" s="24">
        <v>0</v>
      </c>
      <c r="H194" s="24">
        <v>0</v>
      </c>
      <c r="I194" s="24">
        <v>0</v>
      </c>
      <c r="J194" s="24">
        <f t="shared" si="14"/>
        <v>7.66</v>
      </c>
      <c r="K194" s="24" t="s">
        <v>475</v>
      </c>
      <c r="L194" s="25">
        <f t="shared" si="19"/>
        <v>7.66</v>
      </c>
    </row>
    <row r="195" spans="1:12">
      <c r="A195" s="26">
        <f t="shared" si="16"/>
        <v>27</v>
      </c>
      <c r="B195" s="45">
        <v>200941435</v>
      </c>
      <c r="C195" s="59" t="s">
        <v>205</v>
      </c>
      <c r="D195" s="24">
        <v>1.5</v>
      </c>
      <c r="E195" s="24">
        <v>2.78</v>
      </c>
      <c r="F195" s="24">
        <v>0</v>
      </c>
      <c r="G195" s="24">
        <v>0</v>
      </c>
      <c r="H195" s="24">
        <v>0</v>
      </c>
      <c r="I195" s="24">
        <v>0</v>
      </c>
      <c r="J195" s="24">
        <f t="shared" si="14"/>
        <v>4.2799999999999994</v>
      </c>
      <c r="K195" s="24" t="s">
        <v>475</v>
      </c>
      <c r="L195" s="25">
        <f t="shared" si="19"/>
        <v>4.2799999999999994</v>
      </c>
    </row>
    <row r="196" spans="1:12">
      <c r="A196" s="26">
        <f t="shared" si="16"/>
        <v>28</v>
      </c>
      <c r="B196" s="45">
        <v>200941436</v>
      </c>
      <c r="C196" s="56" t="s">
        <v>206</v>
      </c>
      <c r="D196" s="24">
        <v>0</v>
      </c>
      <c r="E196" s="24">
        <v>2.56</v>
      </c>
      <c r="F196" s="24">
        <v>4.08</v>
      </c>
      <c r="G196" s="24">
        <v>1.98</v>
      </c>
      <c r="H196" s="24">
        <v>2.75</v>
      </c>
      <c r="I196" s="24">
        <v>5</v>
      </c>
      <c r="J196" s="24">
        <f t="shared" si="14"/>
        <v>16.37</v>
      </c>
      <c r="K196" s="24" t="s">
        <v>475</v>
      </c>
      <c r="L196" s="25">
        <f t="shared" si="19"/>
        <v>16.37</v>
      </c>
    </row>
    <row r="197" spans="1:12">
      <c r="A197" s="26">
        <f t="shared" si="16"/>
        <v>29</v>
      </c>
      <c r="B197" s="57">
        <v>200941438</v>
      </c>
      <c r="C197" s="60" t="s">
        <v>207</v>
      </c>
      <c r="D197" s="24">
        <v>4.5</v>
      </c>
      <c r="E197" s="24">
        <v>13.26</v>
      </c>
      <c r="F197" s="24">
        <v>10.54</v>
      </c>
      <c r="G197" s="24">
        <v>7.6</v>
      </c>
      <c r="H197" s="24">
        <v>12</v>
      </c>
      <c r="I197" s="24">
        <v>5</v>
      </c>
      <c r="J197" s="24">
        <f t="shared" si="14"/>
        <v>52.9</v>
      </c>
      <c r="K197" s="24">
        <v>11.7</v>
      </c>
      <c r="L197" s="25">
        <f t="shared" si="17"/>
        <v>64.599999999999994</v>
      </c>
    </row>
    <row r="198" spans="1:12">
      <c r="A198" s="26">
        <f t="shared" si="16"/>
        <v>30</v>
      </c>
      <c r="B198" s="45">
        <v>200941680</v>
      </c>
      <c r="C198" s="60" t="s">
        <v>208</v>
      </c>
      <c r="D198" s="24">
        <v>5.0999999999999996</v>
      </c>
      <c r="E198" s="24">
        <v>11.73</v>
      </c>
      <c r="F198" s="24">
        <v>12.24</v>
      </c>
      <c r="G198" s="24">
        <v>6.94</v>
      </c>
      <c r="H198" s="24">
        <v>11.25</v>
      </c>
      <c r="I198" s="24">
        <v>5</v>
      </c>
      <c r="J198" s="24">
        <f t="shared" si="14"/>
        <v>52.26</v>
      </c>
      <c r="K198" s="24">
        <v>15.6</v>
      </c>
      <c r="L198" s="25">
        <f t="shared" si="17"/>
        <v>67.86</v>
      </c>
    </row>
    <row r="199" spans="1:12">
      <c r="A199" s="26">
        <f t="shared" si="16"/>
        <v>31</v>
      </c>
      <c r="B199" s="45">
        <v>200941794</v>
      </c>
      <c r="C199" s="56" t="s">
        <v>209</v>
      </c>
      <c r="D199" s="24">
        <v>3.6</v>
      </c>
      <c r="E199" s="24">
        <v>7.45</v>
      </c>
      <c r="F199" s="24">
        <v>5.0999999999999996</v>
      </c>
      <c r="G199" s="24">
        <v>7.28</v>
      </c>
      <c r="H199" s="24">
        <v>5</v>
      </c>
      <c r="I199" s="24">
        <v>5</v>
      </c>
      <c r="J199" s="24">
        <f t="shared" si="14"/>
        <v>33.43</v>
      </c>
      <c r="K199" s="24" t="s">
        <v>475</v>
      </c>
      <c r="L199" s="25">
        <f>+J199</f>
        <v>33.43</v>
      </c>
    </row>
    <row r="200" spans="1:12">
      <c r="A200" s="26">
        <f t="shared" si="16"/>
        <v>32</v>
      </c>
      <c r="B200" s="45">
        <v>200941891</v>
      </c>
      <c r="C200" s="60" t="s">
        <v>210</v>
      </c>
      <c r="D200" s="24">
        <v>2.1</v>
      </c>
      <c r="E200" s="24">
        <v>7.35</v>
      </c>
      <c r="F200" s="24">
        <v>8.5</v>
      </c>
      <c r="G200" s="24">
        <v>8.93</v>
      </c>
      <c r="H200" s="24">
        <v>9.75</v>
      </c>
      <c r="I200" s="24">
        <v>5</v>
      </c>
      <c r="J200" s="24">
        <f t="shared" si="14"/>
        <v>41.63</v>
      </c>
      <c r="K200" s="24">
        <v>6.3</v>
      </c>
      <c r="L200" s="25">
        <f t="shared" si="17"/>
        <v>47.93</v>
      </c>
    </row>
    <row r="201" spans="1:12">
      <c r="A201" s="26">
        <f t="shared" si="16"/>
        <v>33</v>
      </c>
      <c r="B201" s="45">
        <v>200941910</v>
      </c>
      <c r="C201" s="56" t="s">
        <v>211</v>
      </c>
      <c r="D201" s="24">
        <v>0.9</v>
      </c>
      <c r="E201" s="24">
        <v>3.13</v>
      </c>
      <c r="F201" s="24">
        <v>4.42</v>
      </c>
      <c r="G201" s="24">
        <v>0.99</v>
      </c>
      <c r="H201" s="24">
        <v>1.25</v>
      </c>
      <c r="I201" s="24">
        <v>5</v>
      </c>
      <c r="J201" s="24">
        <f t="shared" si="14"/>
        <v>15.69</v>
      </c>
      <c r="K201" s="24" t="s">
        <v>475</v>
      </c>
      <c r="L201" s="25">
        <f>+J201</f>
        <v>15.69</v>
      </c>
    </row>
    <row r="202" spans="1:12">
      <c r="A202" s="26">
        <f t="shared" si="16"/>
        <v>34</v>
      </c>
      <c r="B202" s="45">
        <v>200942019</v>
      </c>
      <c r="C202" s="56" t="s">
        <v>212</v>
      </c>
      <c r="D202" s="24">
        <v>1.2</v>
      </c>
      <c r="E202" s="24">
        <v>1.82</v>
      </c>
      <c r="F202" s="24">
        <v>5.44</v>
      </c>
      <c r="G202" s="24">
        <v>4.3099999999999996</v>
      </c>
      <c r="H202" s="24">
        <v>3</v>
      </c>
      <c r="I202" s="24">
        <v>5</v>
      </c>
      <c r="J202" s="24">
        <f t="shared" si="14"/>
        <v>20.77</v>
      </c>
      <c r="K202" s="24" t="s">
        <v>475</v>
      </c>
      <c r="L202" s="25">
        <f t="shared" ref="L202:L222" si="20">+J202</f>
        <v>20.77</v>
      </c>
    </row>
    <row r="203" spans="1:12">
      <c r="A203" s="26">
        <f t="shared" si="16"/>
        <v>35</v>
      </c>
      <c r="B203" s="45">
        <v>200942151</v>
      </c>
      <c r="C203" s="56" t="s">
        <v>213</v>
      </c>
      <c r="D203" s="24">
        <v>0.6</v>
      </c>
      <c r="E203" s="24">
        <v>6.88</v>
      </c>
      <c r="F203" s="24">
        <v>5.78</v>
      </c>
      <c r="G203" s="24">
        <v>4.29</v>
      </c>
      <c r="H203" s="24">
        <v>3.75</v>
      </c>
      <c r="I203" s="24">
        <v>5</v>
      </c>
      <c r="J203" s="24">
        <f t="shared" si="14"/>
        <v>26.3</v>
      </c>
      <c r="K203" s="24" t="s">
        <v>475</v>
      </c>
      <c r="L203" s="25">
        <f t="shared" si="20"/>
        <v>26.3</v>
      </c>
    </row>
    <row r="204" spans="1:12">
      <c r="A204" s="26">
        <f t="shared" si="16"/>
        <v>36</v>
      </c>
      <c r="B204" s="45">
        <v>200942666</v>
      </c>
      <c r="C204" s="56" t="s">
        <v>214</v>
      </c>
      <c r="D204" s="24">
        <v>2.7</v>
      </c>
      <c r="E204" s="24">
        <v>5.63</v>
      </c>
      <c r="F204" s="24">
        <v>6.8</v>
      </c>
      <c r="G204" s="24">
        <v>4.6399999999999997</v>
      </c>
      <c r="H204" s="24">
        <v>6.5</v>
      </c>
      <c r="I204" s="24">
        <v>5</v>
      </c>
      <c r="J204" s="24">
        <f t="shared" si="14"/>
        <v>31.27</v>
      </c>
      <c r="K204" s="24" t="s">
        <v>475</v>
      </c>
      <c r="L204" s="25">
        <f t="shared" si="20"/>
        <v>31.27</v>
      </c>
    </row>
    <row r="205" spans="1:12">
      <c r="A205" s="26">
        <f t="shared" si="16"/>
        <v>37</v>
      </c>
      <c r="B205" s="45">
        <v>200942804</v>
      </c>
      <c r="C205" s="59" t="s">
        <v>215</v>
      </c>
      <c r="D205" s="24">
        <v>2.1</v>
      </c>
      <c r="E205" s="24">
        <v>2.67</v>
      </c>
      <c r="F205" s="24">
        <v>6.46</v>
      </c>
      <c r="G205" s="24">
        <v>2.99</v>
      </c>
      <c r="H205" s="24">
        <v>3.5</v>
      </c>
      <c r="I205" s="24">
        <v>5</v>
      </c>
      <c r="J205" s="24">
        <f t="shared" si="14"/>
        <v>22.72</v>
      </c>
      <c r="K205" s="24" t="s">
        <v>475</v>
      </c>
      <c r="L205" s="25">
        <f t="shared" si="20"/>
        <v>22.72</v>
      </c>
    </row>
    <row r="206" spans="1:12">
      <c r="A206" s="26">
        <f t="shared" si="16"/>
        <v>38</v>
      </c>
      <c r="B206" s="45">
        <v>200942806</v>
      </c>
      <c r="C206" s="59" t="s">
        <v>216</v>
      </c>
      <c r="D206" s="24">
        <v>1.2</v>
      </c>
      <c r="E206" s="24">
        <v>1.71</v>
      </c>
      <c r="F206" s="24">
        <v>0</v>
      </c>
      <c r="G206" s="24">
        <v>0</v>
      </c>
      <c r="H206" s="24">
        <v>0</v>
      </c>
      <c r="I206" s="24">
        <v>0</v>
      </c>
      <c r="J206" s="24">
        <f t="shared" si="14"/>
        <v>2.91</v>
      </c>
      <c r="K206" s="24" t="s">
        <v>475</v>
      </c>
      <c r="L206" s="25">
        <f t="shared" si="20"/>
        <v>2.91</v>
      </c>
    </row>
    <row r="207" spans="1:12">
      <c r="A207" s="26">
        <f t="shared" si="16"/>
        <v>39</v>
      </c>
      <c r="B207" s="45">
        <v>200942915</v>
      </c>
      <c r="C207" s="59" t="s">
        <v>217</v>
      </c>
      <c r="D207" s="24">
        <v>3</v>
      </c>
      <c r="E207" s="24">
        <v>4.38</v>
      </c>
      <c r="F207" s="24">
        <v>11.22</v>
      </c>
      <c r="G207" s="24">
        <v>10.59</v>
      </c>
      <c r="H207" s="24">
        <v>0</v>
      </c>
      <c r="I207" s="24">
        <v>0</v>
      </c>
      <c r="J207" s="24">
        <f t="shared" si="14"/>
        <v>29.19</v>
      </c>
      <c r="K207" s="24" t="s">
        <v>475</v>
      </c>
      <c r="L207" s="25">
        <f t="shared" si="20"/>
        <v>29.19</v>
      </c>
    </row>
    <row r="208" spans="1:12">
      <c r="A208" s="26">
        <f t="shared" si="16"/>
        <v>40</v>
      </c>
      <c r="B208" s="57">
        <v>200942930</v>
      </c>
      <c r="C208" s="60" t="s">
        <v>218</v>
      </c>
      <c r="D208" s="24">
        <v>2.1</v>
      </c>
      <c r="E208" s="24">
        <v>2.39</v>
      </c>
      <c r="F208" s="24">
        <v>4.42</v>
      </c>
      <c r="G208" s="24">
        <v>2.65</v>
      </c>
      <c r="H208" s="24">
        <v>6</v>
      </c>
      <c r="I208" s="24">
        <v>5</v>
      </c>
      <c r="J208" s="24">
        <f t="shared" si="14"/>
        <v>22.560000000000002</v>
      </c>
      <c r="K208" s="24" t="s">
        <v>475</v>
      </c>
      <c r="L208" s="25">
        <f t="shared" si="20"/>
        <v>22.560000000000002</v>
      </c>
    </row>
    <row r="209" spans="1:12">
      <c r="A209" s="26">
        <f t="shared" si="16"/>
        <v>41</v>
      </c>
      <c r="B209" s="45">
        <v>200942987</v>
      </c>
      <c r="C209" s="56" t="s">
        <v>219</v>
      </c>
      <c r="D209" s="24">
        <v>0.3</v>
      </c>
      <c r="E209" s="24">
        <v>0.28499999999999998</v>
      </c>
      <c r="F209" s="24">
        <v>2.72</v>
      </c>
      <c r="G209" s="24">
        <v>0.33</v>
      </c>
      <c r="H209" s="24">
        <v>0</v>
      </c>
      <c r="I209" s="24">
        <v>0</v>
      </c>
      <c r="J209" s="24">
        <f t="shared" si="14"/>
        <v>3.6350000000000002</v>
      </c>
      <c r="K209" s="24" t="s">
        <v>475</v>
      </c>
      <c r="L209" s="25">
        <f t="shared" si="20"/>
        <v>3.6350000000000002</v>
      </c>
    </row>
    <row r="210" spans="1:12">
      <c r="A210" s="26">
        <f t="shared" si="16"/>
        <v>42</v>
      </c>
      <c r="B210" s="45">
        <v>200943116</v>
      </c>
      <c r="C210" s="56" t="s">
        <v>220</v>
      </c>
      <c r="D210" s="24">
        <v>2.1</v>
      </c>
      <c r="E210" s="24">
        <v>2.96</v>
      </c>
      <c r="F210" s="24">
        <v>6.8</v>
      </c>
      <c r="G210" s="24">
        <v>5.29</v>
      </c>
      <c r="H210" s="24">
        <v>6</v>
      </c>
      <c r="I210" s="24">
        <v>5</v>
      </c>
      <c r="J210" s="24">
        <f t="shared" si="14"/>
        <v>28.150000000000002</v>
      </c>
      <c r="K210" s="24" t="s">
        <v>475</v>
      </c>
      <c r="L210" s="25">
        <f t="shared" si="20"/>
        <v>28.150000000000002</v>
      </c>
    </row>
    <row r="211" spans="1:12">
      <c r="A211" s="26">
        <f t="shared" si="16"/>
        <v>43</v>
      </c>
      <c r="B211" s="45">
        <v>200943121</v>
      </c>
      <c r="C211" s="56" t="s">
        <v>221</v>
      </c>
      <c r="D211" s="24">
        <v>0.6</v>
      </c>
      <c r="E211" s="24">
        <v>3.24</v>
      </c>
      <c r="F211" s="24">
        <v>5.0999999999999996</v>
      </c>
      <c r="G211" s="24">
        <v>2.66</v>
      </c>
      <c r="H211" s="24">
        <v>0</v>
      </c>
      <c r="I211" s="24">
        <v>0</v>
      </c>
      <c r="J211" s="24">
        <f t="shared" si="14"/>
        <v>11.6</v>
      </c>
      <c r="K211" s="24" t="s">
        <v>475</v>
      </c>
      <c r="L211" s="25">
        <f t="shared" si="20"/>
        <v>11.6</v>
      </c>
    </row>
    <row r="212" spans="1:12">
      <c r="A212" s="26">
        <f t="shared" si="16"/>
        <v>44</v>
      </c>
      <c r="B212" s="45">
        <v>200943122</v>
      </c>
      <c r="C212" s="56" t="s">
        <v>222</v>
      </c>
      <c r="D212" s="24">
        <v>1.8</v>
      </c>
      <c r="E212" s="24">
        <v>3.81</v>
      </c>
      <c r="F212" s="24">
        <v>7.82</v>
      </c>
      <c r="G212" s="24">
        <v>3.63</v>
      </c>
      <c r="H212" s="24">
        <v>2.25</v>
      </c>
      <c r="I212" s="24">
        <v>5</v>
      </c>
      <c r="J212" s="24">
        <f t="shared" si="14"/>
        <v>24.31</v>
      </c>
      <c r="K212" s="24" t="s">
        <v>475</v>
      </c>
      <c r="L212" s="25">
        <f t="shared" si="20"/>
        <v>24.31</v>
      </c>
    </row>
    <row r="213" spans="1:12">
      <c r="A213" s="26">
        <f t="shared" si="16"/>
        <v>45</v>
      </c>
      <c r="B213" s="45">
        <v>200943128</v>
      </c>
      <c r="C213" s="56" t="s">
        <v>223</v>
      </c>
      <c r="D213" s="24">
        <v>0.6</v>
      </c>
      <c r="E213" s="24">
        <v>0</v>
      </c>
      <c r="F213" s="24">
        <v>3.74</v>
      </c>
      <c r="G213" s="24">
        <v>1.33</v>
      </c>
      <c r="H213" s="24">
        <v>0</v>
      </c>
      <c r="I213" s="24">
        <v>0</v>
      </c>
      <c r="J213" s="24">
        <f t="shared" si="14"/>
        <v>5.67</v>
      </c>
      <c r="K213" s="24" t="s">
        <v>475</v>
      </c>
      <c r="L213" s="25">
        <f t="shared" si="20"/>
        <v>5.67</v>
      </c>
    </row>
    <row r="214" spans="1:12">
      <c r="A214" s="26">
        <f t="shared" si="16"/>
        <v>46</v>
      </c>
      <c r="B214" s="45">
        <v>200943314</v>
      </c>
      <c r="C214" s="56" t="s">
        <v>224</v>
      </c>
      <c r="D214" s="24">
        <v>0.9</v>
      </c>
      <c r="E214" s="24">
        <v>6.49</v>
      </c>
      <c r="F214" s="24">
        <v>7.14</v>
      </c>
      <c r="G214" s="24">
        <v>3.97</v>
      </c>
      <c r="H214" s="24">
        <v>4.25</v>
      </c>
      <c r="I214" s="24">
        <v>5</v>
      </c>
      <c r="J214" s="24">
        <f t="shared" si="14"/>
        <v>27.75</v>
      </c>
      <c r="K214" s="24" t="s">
        <v>475</v>
      </c>
      <c r="L214" s="25">
        <f t="shared" si="20"/>
        <v>27.75</v>
      </c>
    </row>
    <row r="215" spans="1:12">
      <c r="A215" s="26">
        <f t="shared" si="16"/>
        <v>47</v>
      </c>
      <c r="B215" s="45">
        <v>200943330</v>
      </c>
      <c r="C215" s="56" t="s">
        <v>225</v>
      </c>
      <c r="D215" s="24">
        <v>1.8</v>
      </c>
      <c r="E215" s="24">
        <v>5.35</v>
      </c>
      <c r="F215" s="24">
        <v>5.78</v>
      </c>
      <c r="G215" s="24">
        <v>0</v>
      </c>
      <c r="H215" s="24">
        <v>0</v>
      </c>
      <c r="I215" s="24">
        <v>0</v>
      </c>
      <c r="J215" s="24">
        <f t="shared" si="14"/>
        <v>12.93</v>
      </c>
      <c r="K215" s="24" t="s">
        <v>475</v>
      </c>
      <c r="L215" s="25">
        <f t="shared" si="20"/>
        <v>12.93</v>
      </c>
    </row>
    <row r="216" spans="1:12">
      <c r="A216" s="26">
        <f t="shared" si="16"/>
        <v>48</v>
      </c>
      <c r="B216" s="57">
        <v>200943368</v>
      </c>
      <c r="C216" s="60" t="s">
        <v>226</v>
      </c>
      <c r="D216" s="24">
        <v>0</v>
      </c>
      <c r="E216" s="24">
        <v>5.52</v>
      </c>
      <c r="F216" s="24">
        <v>8.16</v>
      </c>
      <c r="G216" s="24">
        <v>0.99</v>
      </c>
      <c r="H216" s="24">
        <v>0</v>
      </c>
      <c r="I216" s="24">
        <v>0</v>
      </c>
      <c r="J216" s="24">
        <f t="shared" si="14"/>
        <v>14.67</v>
      </c>
      <c r="K216" s="24" t="s">
        <v>475</v>
      </c>
      <c r="L216" s="25">
        <f t="shared" si="20"/>
        <v>14.67</v>
      </c>
    </row>
    <row r="217" spans="1:12">
      <c r="A217" s="26">
        <f t="shared" si="16"/>
        <v>49</v>
      </c>
      <c r="B217" s="45">
        <v>200943645</v>
      </c>
      <c r="C217" s="60" t="s">
        <v>227</v>
      </c>
      <c r="D217" s="24">
        <v>3.6</v>
      </c>
      <c r="E217" s="24">
        <v>4.92</v>
      </c>
      <c r="F217" s="24">
        <v>7.48</v>
      </c>
      <c r="G217" s="24">
        <v>7.28</v>
      </c>
      <c r="H217" s="24">
        <v>8</v>
      </c>
      <c r="I217" s="24">
        <v>5</v>
      </c>
      <c r="J217" s="24">
        <f t="shared" si="14"/>
        <v>36.28</v>
      </c>
      <c r="K217" s="24" t="s">
        <v>475</v>
      </c>
      <c r="L217" s="25">
        <f t="shared" si="20"/>
        <v>36.28</v>
      </c>
    </row>
    <row r="218" spans="1:12">
      <c r="A218" s="26">
        <f t="shared" si="16"/>
        <v>50</v>
      </c>
      <c r="B218" s="45">
        <v>200943703</v>
      </c>
      <c r="C218" s="60" t="s">
        <v>228</v>
      </c>
      <c r="D218" s="24">
        <v>2.4</v>
      </c>
      <c r="E218" s="24">
        <v>6.31</v>
      </c>
      <c r="F218" s="24">
        <v>6.8</v>
      </c>
      <c r="G218" s="24">
        <v>4.63</v>
      </c>
      <c r="H218" s="24">
        <v>6.25</v>
      </c>
      <c r="I218" s="24">
        <v>5</v>
      </c>
      <c r="J218" s="24">
        <f t="shared" si="14"/>
        <v>31.389999999999997</v>
      </c>
      <c r="K218" s="24" t="s">
        <v>475</v>
      </c>
      <c r="L218" s="25">
        <f t="shared" si="20"/>
        <v>31.389999999999997</v>
      </c>
    </row>
    <row r="219" spans="1:12">
      <c r="A219" s="26">
        <f t="shared" si="16"/>
        <v>51</v>
      </c>
      <c r="B219" s="45">
        <v>200944051</v>
      </c>
      <c r="C219" s="60" t="s">
        <v>229</v>
      </c>
      <c r="D219" s="24">
        <v>0.9</v>
      </c>
      <c r="E219" s="24">
        <v>2.1</v>
      </c>
      <c r="F219" s="24">
        <v>5.44</v>
      </c>
      <c r="G219" s="24">
        <v>0.66</v>
      </c>
      <c r="H219" s="24">
        <v>0</v>
      </c>
      <c r="I219" s="24">
        <v>0</v>
      </c>
      <c r="J219" s="24">
        <f t="shared" si="14"/>
        <v>9.1000000000000014</v>
      </c>
      <c r="K219" s="24" t="s">
        <v>475</v>
      </c>
      <c r="L219" s="25">
        <f t="shared" si="20"/>
        <v>9.1000000000000014</v>
      </c>
    </row>
    <row r="220" spans="1:12">
      <c r="A220" s="26">
        <f t="shared" si="16"/>
        <v>52</v>
      </c>
      <c r="B220" s="45">
        <v>200944223</v>
      </c>
      <c r="C220" s="60" t="s">
        <v>230</v>
      </c>
      <c r="D220" s="24">
        <v>0</v>
      </c>
      <c r="E220" s="24">
        <v>1.82</v>
      </c>
      <c r="F220" s="24">
        <v>0</v>
      </c>
      <c r="G220" s="24">
        <v>0</v>
      </c>
      <c r="H220" s="24">
        <v>0</v>
      </c>
      <c r="I220" s="24">
        <v>0</v>
      </c>
      <c r="J220" s="24">
        <f t="shared" si="14"/>
        <v>1.82</v>
      </c>
      <c r="K220" s="24" t="s">
        <v>475</v>
      </c>
      <c r="L220" s="25">
        <f t="shared" si="20"/>
        <v>1.82</v>
      </c>
    </row>
    <row r="221" spans="1:12">
      <c r="A221" s="26">
        <f t="shared" si="16"/>
        <v>53</v>
      </c>
      <c r="B221" s="45">
        <v>200944768</v>
      </c>
      <c r="C221" s="60" t="s">
        <v>231</v>
      </c>
      <c r="D221" s="24">
        <v>1.5</v>
      </c>
      <c r="E221" s="24">
        <v>2.85</v>
      </c>
      <c r="F221" s="24">
        <v>6.12</v>
      </c>
      <c r="G221" s="24">
        <v>5.33</v>
      </c>
      <c r="H221" s="24">
        <v>0</v>
      </c>
      <c r="I221" s="24">
        <v>0</v>
      </c>
      <c r="J221" s="24">
        <f t="shared" si="14"/>
        <v>15.799999999999999</v>
      </c>
      <c r="K221" s="24" t="s">
        <v>475</v>
      </c>
      <c r="L221" s="25">
        <f t="shared" si="20"/>
        <v>15.799999999999999</v>
      </c>
    </row>
    <row r="222" spans="1:12">
      <c r="A222" s="26">
        <f t="shared" si="16"/>
        <v>54</v>
      </c>
      <c r="B222" s="45">
        <v>200944831</v>
      </c>
      <c r="C222" s="56" t="s">
        <v>232</v>
      </c>
      <c r="D222" s="24">
        <v>2.1</v>
      </c>
      <c r="E222" s="24">
        <v>1.71</v>
      </c>
      <c r="F222" s="24">
        <v>6.46</v>
      </c>
      <c r="G222" s="24">
        <v>3.31</v>
      </c>
      <c r="H222" s="24">
        <v>0.75</v>
      </c>
      <c r="I222" s="24">
        <v>5</v>
      </c>
      <c r="J222" s="24">
        <f t="shared" si="14"/>
        <v>19.330000000000002</v>
      </c>
      <c r="K222" s="24" t="s">
        <v>475</v>
      </c>
      <c r="L222" s="25">
        <f t="shared" si="20"/>
        <v>19.330000000000002</v>
      </c>
    </row>
    <row r="223" spans="1:12">
      <c r="A223" s="29"/>
      <c r="B223" s="29"/>
      <c r="C223" s="30"/>
      <c r="D223" s="31"/>
      <c r="E223" s="31"/>
      <c r="F223" s="31"/>
      <c r="G223" s="31"/>
      <c r="H223" s="31"/>
      <c r="I223" s="31"/>
      <c r="J223" s="31"/>
      <c r="K223" s="31"/>
      <c r="L223" s="32"/>
    </row>
    <row r="224" spans="1:12">
      <c r="A224" s="29"/>
      <c r="B224" s="29"/>
      <c r="C224" s="30"/>
      <c r="D224" s="31"/>
      <c r="E224" s="31"/>
      <c r="F224" s="31"/>
      <c r="G224" s="31"/>
      <c r="H224" s="31"/>
      <c r="I224" s="31"/>
      <c r="J224" s="31"/>
      <c r="K224" s="31"/>
      <c r="L224" s="32"/>
    </row>
    <row r="225" spans="1:12" ht="17.25" thickBot="1">
      <c r="A225" s="33"/>
      <c r="B225" s="33"/>
      <c r="C225" s="34"/>
      <c r="D225" s="31"/>
      <c r="E225" s="31"/>
      <c r="F225" s="31"/>
      <c r="G225" s="31"/>
      <c r="H225" s="35"/>
      <c r="I225" s="35"/>
      <c r="J225" s="35"/>
      <c r="K225" s="9"/>
      <c r="L225" s="32"/>
    </row>
    <row r="226" spans="1:12">
      <c r="H226" s="100" t="s">
        <v>473</v>
      </c>
      <c r="I226" s="100"/>
      <c r="J226" s="100"/>
      <c r="L226" s="1"/>
    </row>
    <row r="227" spans="1:12">
      <c r="D227" s="36"/>
      <c r="H227" s="100" t="s">
        <v>21</v>
      </c>
      <c r="I227" s="100"/>
      <c r="J227" s="100"/>
      <c r="L227" s="1"/>
    </row>
    <row r="228" spans="1:12">
      <c r="D228" s="36"/>
      <c r="H228" s="100" t="s">
        <v>471</v>
      </c>
      <c r="I228" s="100"/>
      <c r="J228" s="100"/>
      <c r="L228" s="1"/>
    </row>
    <row r="235" spans="1:12" ht="17.25" thickBot="1">
      <c r="A235" s="1" t="s">
        <v>0</v>
      </c>
      <c r="I235" s="3"/>
    </row>
    <row r="236" spans="1:12">
      <c r="A236" s="1" t="s">
        <v>1</v>
      </c>
      <c r="F236" s="4"/>
      <c r="G236" s="5"/>
      <c r="H236" s="6"/>
      <c r="I236" s="7"/>
    </row>
    <row r="237" spans="1:12">
      <c r="A237" s="8" t="s">
        <v>2</v>
      </c>
      <c r="B237" s="9"/>
      <c r="E237" s="7"/>
      <c r="F237" s="10"/>
      <c r="G237" s="11"/>
      <c r="H237" s="12"/>
      <c r="I237" s="7"/>
    </row>
    <row r="238" spans="1:12" ht="17.25" thickBot="1">
      <c r="A238" s="13" t="s">
        <v>3</v>
      </c>
      <c r="B238" s="9"/>
      <c r="E238" s="7"/>
      <c r="F238" s="10"/>
      <c r="G238" s="11"/>
      <c r="H238" s="12"/>
      <c r="I238" s="7"/>
    </row>
    <row r="239" spans="1:12" ht="17.25" thickBot="1">
      <c r="A239" s="14" t="s">
        <v>22</v>
      </c>
      <c r="B239" s="15"/>
      <c r="C239" s="16"/>
      <c r="E239" s="7"/>
      <c r="F239" s="17"/>
      <c r="G239" s="18"/>
      <c r="H239" s="19"/>
      <c r="I239" s="7"/>
    </row>
    <row r="240" spans="1:12">
      <c r="A240" s="8"/>
      <c r="B240" s="9"/>
      <c r="E240" s="7"/>
      <c r="I240" s="3"/>
    </row>
    <row r="241" spans="1:12">
      <c r="A241" s="1" t="s">
        <v>91</v>
      </c>
      <c r="B241" s="9"/>
      <c r="C241" s="20" t="s">
        <v>233</v>
      </c>
      <c r="E241" s="7"/>
      <c r="I241" s="3"/>
    </row>
    <row r="242" spans="1:12">
      <c r="A242" s="1" t="s">
        <v>4</v>
      </c>
      <c r="C242" s="20" t="s">
        <v>468</v>
      </c>
      <c r="I242" s="3"/>
    </row>
    <row r="243" spans="1:12">
      <c r="A243" s="1" t="s">
        <v>5</v>
      </c>
      <c r="C243" s="20" t="s">
        <v>469</v>
      </c>
    </row>
    <row r="244" spans="1:12">
      <c r="A244" s="21"/>
      <c r="B244" s="21"/>
      <c r="C244" s="21"/>
      <c r="D244" s="21"/>
      <c r="E244" s="21"/>
      <c r="F244" s="21"/>
      <c r="G244" s="21"/>
      <c r="H244" s="21"/>
      <c r="I244" s="21"/>
      <c r="J244" s="21"/>
    </row>
    <row r="245" spans="1:12">
      <c r="A245" s="1"/>
      <c r="C245" s="22" t="s">
        <v>6</v>
      </c>
      <c r="D245" s="22" t="s">
        <v>93</v>
      </c>
      <c r="E245" s="22" t="s">
        <v>93</v>
      </c>
      <c r="F245" s="22" t="s">
        <v>93</v>
      </c>
      <c r="G245" s="22" t="s">
        <v>93</v>
      </c>
      <c r="H245" s="22" t="s">
        <v>93</v>
      </c>
      <c r="I245" s="22" t="s">
        <v>94</v>
      </c>
      <c r="J245" s="22" t="s">
        <v>8</v>
      </c>
      <c r="K245" s="22" t="s">
        <v>7</v>
      </c>
      <c r="L245" s="22" t="s">
        <v>9</v>
      </c>
    </row>
    <row r="246" spans="1:12">
      <c r="A246" s="22" t="s">
        <v>10</v>
      </c>
      <c r="B246" s="22" t="s">
        <v>11</v>
      </c>
      <c r="C246" s="22" t="s">
        <v>12</v>
      </c>
      <c r="D246" s="22" t="s">
        <v>13</v>
      </c>
      <c r="E246" s="22" t="s">
        <v>14</v>
      </c>
      <c r="F246" s="22" t="s">
        <v>15</v>
      </c>
      <c r="G246" s="22" t="s">
        <v>16</v>
      </c>
      <c r="H246" s="22" t="s">
        <v>17</v>
      </c>
      <c r="I246" s="22" t="s">
        <v>95</v>
      </c>
      <c r="J246" s="22" t="s">
        <v>18</v>
      </c>
      <c r="K246" s="22" t="s">
        <v>19</v>
      </c>
      <c r="L246" s="22" t="s">
        <v>20</v>
      </c>
    </row>
    <row r="247" spans="1:12">
      <c r="A247" s="23">
        <v>1</v>
      </c>
      <c r="B247" s="45">
        <v>200741726</v>
      </c>
      <c r="C247" s="56" t="s">
        <v>235</v>
      </c>
      <c r="D247" s="24">
        <v>3.3</v>
      </c>
      <c r="E247" s="24">
        <v>1.43</v>
      </c>
      <c r="F247" s="24">
        <v>7.31</v>
      </c>
      <c r="G247" s="24">
        <v>2.67</v>
      </c>
      <c r="H247" s="24">
        <v>0</v>
      </c>
      <c r="I247" s="24">
        <v>2.5</v>
      </c>
      <c r="J247" s="24">
        <f>+I247+H247+G247+F247+D247</f>
        <v>15.780000000000001</v>
      </c>
      <c r="K247" s="24" t="s">
        <v>475</v>
      </c>
      <c r="L247" s="25">
        <f>+J247</f>
        <v>15.780000000000001</v>
      </c>
    </row>
    <row r="248" spans="1:12">
      <c r="A248" s="26">
        <f>1+A247</f>
        <v>2</v>
      </c>
      <c r="B248" s="45">
        <v>200741839</v>
      </c>
      <c r="C248" s="56" t="s">
        <v>237</v>
      </c>
      <c r="D248" s="24">
        <v>4.2</v>
      </c>
      <c r="E248" s="24">
        <v>7.63</v>
      </c>
      <c r="F248" s="24">
        <v>7.33</v>
      </c>
      <c r="G248" s="24">
        <v>6.17</v>
      </c>
      <c r="H248" s="24">
        <v>6.25</v>
      </c>
      <c r="I248" s="24">
        <v>4.5</v>
      </c>
      <c r="J248" s="24">
        <f t="shared" ref="J248:J265" si="21">+I248+H248+G248+F248+E248+D248</f>
        <v>36.08</v>
      </c>
      <c r="K248" s="24" t="s">
        <v>475</v>
      </c>
      <c r="L248" s="25">
        <f t="shared" ref="L248:L249" si="22">+J248</f>
        <v>36.08</v>
      </c>
    </row>
    <row r="249" spans="1:12">
      <c r="A249" s="26">
        <f t="shared" ref="A249:A301" si="23">1+A248</f>
        <v>3</v>
      </c>
      <c r="B249" s="45">
        <v>200741850</v>
      </c>
      <c r="C249" s="56" t="s">
        <v>239</v>
      </c>
      <c r="D249" s="24">
        <v>2.7</v>
      </c>
      <c r="E249" s="24">
        <v>2.96</v>
      </c>
      <c r="F249" s="24">
        <v>8.4600000000000009</v>
      </c>
      <c r="G249" s="24">
        <v>6.5</v>
      </c>
      <c r="H249" s="24">
        <v>0</v>
      </c>
      <c r="I249" s="24">
        <v>4.5</v>
      </c>
      <c r="J249" s="24">
        <f t="shared" si="21"/>
        <v>25.12</v>
      </c>
      <c r="K249" s="24" t="s">
        <v>475</v>
      </c>
      <c r="L249" s="25">
        <f t="shared" si="22"/>
        <v>25.12</v>
      </c>
    </row>
    <row r="250" spans="1:12">
      <c r="A250" s="26">
        <f t="shared" si="23"/>
        <v>4</v>
      </c>
      <c r="B250" s="45">
        <v>200840207</v>
      </c>
      <c r="C250" s="59" t="s">
        <v>244</v>
      </c>
      <c r="D250" s="24">
        <v>5.7</v>
      </c>
      <c r="E250" s="24">
        <v>7.06</v>
      </c>
      <c r="F250" s="24">
        <v>8.85</v>
      </c>
      <c r="G250" s="24">
        <v>7.99</v>
      </c>
      <c r="H250" s="24">
        <v>8.1300000000000008</v>
      </c>
      <c r="I250" s="24">
        <v>4.5</v>
      </c>
      <c r="J250" s="24">
        <f t="shared" si="21"/>
        <v>42.230000000000004</v>
      </c>
      <c r="K250" s="24">
        <v>5.38</v>
      </c>
      <c r="L250" s="25">
        <f t="shared" ref="L250:L300" si="24">+K250+J250</f>
        <v>47.610000000000007</v>
      </c>
    </row>
    <row r="251" spans="1:12">
      <c r="A251" s="26">
        <f t="shared" si="23"/>
        <v>5</v>
      </c>
      <c r="B251" s="45">
        <v>22008223</v>
      </c>
      <c r="C251" s="59" t="s">
        <v>245</v>
      </c>
      <c r="D251" s="24">
        <v>0</v>
      </c>
      <c r="E251" s="24">
        <v>4.96</v>
      </c>
      <c r="F251" s="24">
        <v>0</v>
      </c>
      <c r="G251" s="24">
        <v>0</v>
      </c>
      <c r="H251" s="24">
        <v>0</v>
      </c>
      <c r="I251" s="24">
        <v>0</v>
      </c>
      <c r="J251" s="24">
        <f t="shared" si="21"/>
        <v>4.96</v>
      </c>
      <c r="K251" s="24" t="s">
        <v>475</v>
      </c>
      <c r="L251" s="25">
        <f>+J251</f>
        <v>4.96</v>
      </c>
    </row>
    <row r="252" spans="1:12">
      <c r="A252" s="26">
        <f t="shared" si="23"/>
        <v>6</v>
      </c>
      <c r="B252" s="45">
        <v>200840267</v>
      </c>
      <c r="C252" s="56" t="s">
        <v>246</v>
      </c>
      <c r="D252" s="24">
        <v>4.8</v>
      </c>
      <c r="E252" s="24">
        <v>5.42</v>
      </c>
      <c r="F252" s="24">
        <v>9.99</v>
      </c>
      <c r="G252" s="24">
        <v>6.5</v>
      </c>
      <c r="H252" s="24">
        <v>7.75</v>
      </c>
      <c r="I252" s="24">
        <v>0</v>
      </c>
      <c r="J252" s="24">
        <f t="shared" si="21"/>
        <v>34.46</v>
      </c>
      <c r="K252" s="24" t="s">
        <v>475</v>
      </c>
      <c r="L252" s="25">
        <f t="shared" ref="L252:L258" si="25">+J252</f>
        <v>34.46</v>
      </c>
    </row>
    <row r="253" spans="1:12">
      <c r="A253" s="26">
        <f t="shared" si="23"/>
        <v>7</v>
      </c>
      <c r="B253" s="45">
        <v>200840270</v>
      </c>
      <c r="C253" s="56" t="s">
        <v>247</v>
      </c>
      <c r="D253" s="24">
        <v>3.6</v>
      </c>
      <c r="E253" s="24">
        <v>5.13</v>
      </c>
      <c r="F253" s="24">
        <v>5.77</v>
      </c>
      <c r="G253" s="24">
        <v>8.6659000000000006</v>
      </c>
      <c r="H253" s="24">
        <v>10.37</v>
      </c>
      <c r="I253" s="24">
        <v>4.5</v>
      </c>
      <c r="J253" s="24">
        <f t="shared" si="21"/>
        <v>38.035899999999998</v>
      </c>
      <c r="K253" s="24" t="s">
        <v>475</v>
      </c>
      <c r="L253" s="25">
        <f t="shared" si="25"/>
        <v>38.035899999999998</v>
      </c>
    </row>
    <row r="254" spans="1:12">
      <c r="A254" s="26">
        <f t="shared" si="23"/>
        <v>8</v>
      </c>
      <c r="B254" s="45">
        <v>200842109</v>
      </c>
      <c r="C254" s="56" t="s">
        <v>251</v>
      </c>
      <c r="D254" s="24">
        <v>0</v>
      </c>
      <c r="E254" s="24">
        <v>1.43</v>
      </c>
      <c r="F254" s="24">
        <v>7.84</v>
      </c>
      <c r="G254" s="24">
        <v>7.83</v>
      </c>
      <c r="H254" s="24">
        <v>7.62</v>
      </c>
      <c r="I254" s="24">
        <v>4.5</v>
      </c>
      <c r="J254" s="24">
        <f t="shared" si="21"/>
        <v>29.220000000000002</v>
      </c>
      <c r="K254" s="24" t="s">
        <v>475</v>
      </c>
      <c r="L254" s="25">
        <f t="shared" si="25"/>
        <v>29.220000000000002</v>
      </c>
    </row>
    <row r="255" spans="1:12">
      <c r="A255" s="26">
        <f t="shared" si="23"/>
        <v>9</v>
      </c>
      <c r="B255" s="45">
        <v>200842115</v>
      </c>
      <c r="C255" s="56" t="s">
        <v>253</v>
      </c>
      <c r="D255" s="24">
        <v>3.9</v>
      </c>
      <c r="E255" s="24">
        <v>4.5599999999999996</v>
      </c>
      <c r="F255" s="24">
        <v>6.54</v>
      </c>
      <c r="G255" s="24">
        <v>6.67</v>
      </c>
      <c r="H255" s="24">
        <v>10.25</v>
      </c>
      <c r="I255" s="24">
        <v>4.5</v>
      </c>
      <c r="J255" s="24">
        <f t="shared" si="21"/>
        <v>36.42</v>
      </c>
      <c r="K255" s="24" t="s">
        <v>475</v>
      </c>
      <c r="L255" s="25">
        <f t="shared" si="25"/>
        <v>36.42</v>
      </c>
    </row>
    <row r="256" spans="1:12">
      <c r="A256" s="26">
        <f t="shared" si="23"/>
        <v>10</v>
      </c>
      <c r="B256" s="45">
        <v>200842125</v>
      </c>
      <c r="C256" s="56" t="s">
        <v>254</v>
      </c>
      <c r="D256" s="24">
        <v>4.5</v>
      </c>
      <c r="E256" s="24">
        <v>5.92</v>
      </c>
      <c r="F256" s="24">
        <v>0</v>
      </c>
      <c r="G256" s="24">
        <v>0</v>
      </c>
      <c r="H256" s="24">
        <v>0</v>
      </c>
      <c r="I256" s="24">
        <v>0</v>
      </c>
      <c r="J256" s="24">
        <f t="shared" si="21"/>
        <v>10.42</v>
      </c>
      <c r="K256" s="24" t="s">
        <v>475</v>
      </c>
      <c r="L256" s="25">
        <f t="shared" si="25"/>
        <v>10.42</v>
      </c>
    </row>
    <row r="257" spans="1:12">
      <c r="A257" s="26">
        <f t="shared" si="23"/>
        <v>11</v>
      </c>
      <c r="B257" s="45">
        <v>200842134</v>
      </c>
      <c r="C257" s="56" t="s">
        <v>474</v>
      </c>
      <c r="D257" s="24">
        <v>0</v>
      </c>
      <c r="E257" s="24">
        <v>0.28999999999999998</v>
      </c>
      <c r="F257" s="24">
        <v>4.0999999999999996</v>
      </c>
      <c r="G257" s="24">
        <v>5.5</v>
      </c>
      <c r="H257" s="24">
        <v>3.75</v>
      </c>
      <c r="I257" s="24">
        <v>4.5</v>
      </c>
      <c r="J257" s="24">
        <f t="shared" si="21"/>
        <v>18.14</v>
      </c>
      <c r="K257" s="24" t="s">
        <v>475</v>
      </c>
      <c r="L257" s="25">
        <f t="shared" si="25"/>
        <v>18.14</v>
      </c>
    </row>
    <row r="258" spans="1:12">
      <c r="A258" s="26">
        <f t="shared" si="23"/>
        <v>12</v>
      </c>
      <c r="B258" s="45">
        <v>200842427</v>
      </c>
      <c r="C258" s="56" t="s">
        <v>256</v>
      </c>
      <c r="D258" s="24">
        <v>4.2</v>
      </c>
      <c r="E258" s="24">
        <v>10.48</v>
      </c>
      <c r="F258" s="24">
        <v>8.08</v>
      </c>
      <c r="G258" s="24">
        <v>8.67</v>
      </c>
      <c r="H258" s="24">
        <v>0</v>
      </c>
      <c r="I258" s="24">
        <v>4.5</v>
      </c>
      <c r="J258" s="24">
        <f t="shared" si="21"/>
        <v>35.93</v>
      </c>
      <c r="K258" s="24" t="s">
        <v>475</v>
      </c>
      <c r="L258" s="25">
        <f t="shared" si="25"/>
        <v>35.93</v>
      </c>
    </row>
    <row r="259" spans="1:12">
      <c r="A259" s="26">
        <f t="shared" si="23"/>
        <v>13</v>
      </c>
      <c r="B259" s="45">
        <v>200842447</v>
      </c>
      <c r="C259" s="56" t="s">
        <v>258</v>
      </c>
      <c r="D259" s="24">
        <v>4.5</v>
      </c>
      <c r="E259" s="24">
        <v>7.63</v>
      </c>
      <c r="F259" s="24">
        <v>9.6199999999999992</v>
      </c>
      <c r="G259" s="24">
        <v>7.83</v>
      </c>
      <c r="H259" s="24">
        <v>9.75</v>
      </c>
      <c r="I259" s="24">
        <v>4.5</v>
      </c>
      <c r="J259" s="24">
        <f t="shared" si="21"/>
        <v>43.83</v>
      </c>
      <c r="K259" s="24">
        <v>7.23</v>
      </c>
      <c r="L259" s="25">
        <f t="shared" si="24"/>
        <v>51.06</v>
      </c>
    </row>
    <row r="260" spans="1:12">
      <c r="A260" s="26">
        <f t="shared" si="23"/>
        <v>14</v>
      </c>
      <c r="B260" s="45">
        <v>200842674</v>
      </c>
      <c r="C260" s="60" t="s">
        <v>259</v>
      </c>
      <c r="D260" s="24">
        <v>9.9</v>
      </c>
      <c r="E260" s="24">
        <v>10.59</v>
      </c>
      <c r="F260" s="24">
        <v>8.52</v>
      </c>
      <c r="G260" s="24">
        <v>7.67</v>
      </c>
      <c r="H260" s="24">
        <v>10.84</v>
      </c>
      <c r="I260" s="24">
        <v>4.5</v>
      </c>
      <c r="J260" s="24">
        <f t="shared" si="21"/>
        <v>52.019999999999996</v>
      </c>
      <c r="K260" s="24">
        <v>9.08</v>
      </c>
      <c r="L260" s="25">
        <f t="shared" si="24"/>
        <v>61.099999999999994</v>
      </c>
    </row>
    <row r="261" spans="1:12">
      <c r="A261" s="26">
        <f t="shared" si="23"/>
        <v>15</v>
      </c>
      <c r="B261" s="45">
        <v>200843791</v>
      </c>
      <c r="C261" s="56" t="s">
        <v>260</v>
      </c>
      <c r="D261" s="24">
        <v>2.4</v>
      </c>
      <c r="E261" s="24">
        <v>4.0999999999999996</v>
      </c>
      <c r="F261" s="24">
        <v>9.8699999999999992</v>
      </c>
      <c r="G261" s="24">
        <v>6.5</v>
      </c>
      <c r="H261" s="24">
        <v>8.3699999999999992</v>
      </c>
      <c r="I261" s="24">
        <v>4.5</v>
      </c>
      <c r="J261" s="24">
        <f t="shared" si="21"/>
        <v>35.739999999999995</v>
      </c>
      <c r="K261" s="24" t="s">
        <v>475</v>
      </c>
      <c r="L261" s="25">
        <f>+J261</f>
        <v>35.739999999999995</v>
      </c>
    </row>
    <row r="262" spans="1:12">
      <c r="A262" s="26">
        <f t="shared" si="23"/>
        <v>16</v>
      </c>
      <c r="B262" s="45">
        <v>200940321</v>
      </c>
      <c r="C262" s="58" t="s">
        <v>261</v>
      </c>
      <c r="D262" s="24">
        <v>2.1</v>
      </c>
      <c r="E262" s="24">
        <v>1.99</v>
      </c>
      <c r="F262" s="24">
        <v>5.77</v>
      </c>
      <c r="G262" s="24">
        <v>3.5</v>
      </c>
      <c r="H262" s="28">
        <v>0</v>
      </c>
      <c r="I262" s="28">
        <v>4.5</v>
      </c>
      <c r="J262" s="24">
        <f t="shared" si="21"/>
        <v>17.86</v>
      </c>
      <c r="K262" s="24" t="s">
        <v>475</v>
      </c>
      <c r="L262" s="25">
        <f>+J262</f>
        <v>17.86</v>
      </c>
    </row>
    <row r="263" spans="1:12">
      <c r="A263" s="26">
        <f t="shared" si="23"/>
        <v>17</v>
      </c>
      <c r="B263" s="57">
        <v>200940333</v>
      </c>
      <c r="C263" s="56" t="s">
        <v>262</v>
      </c>
      <c r="D263" s="24">
        <v>10.5</v>
      </c>
      <c r="E263" s="24">
        <v>11.91</v>
      </c>
      <c r="F263" s="24">
        <v>12.31</v>
      </c>
      <c r="G263" s="24">
        <v>9.4992000000000001</v>
      </c>
      <c r="H263" s="28">
        <v>14.75</v>
      </c>
      <c r="I263" s="28">
        <v>4.5</v>
      </c>
      <c r="J263" s="24">
        <f t="shared" si="21"/>
        <v>63.469200000000001</v>
      </c>
      <c r="K263" s="24">
        <v>11.38</v>
      </c>
      <c r="L263" s="25">
        <f t="shared" si="24"/>
        <v>74.849199999999996</v>
      </c>
    </row>
    <row r="264" spans="1:12">
      <c r="A264" s="26">
        <f t="shared" si="23"/>
        <v>18</v>
      </c>
      <c r="B264" s="45">
        <v>200940343</v>
      </c>
      <c r="C264" s="58" t="s">
        <v>263</v>
      </c>
      <c r="D264" s="24">
        <v>8.1</v>
      </c>
      <c r="E264" s="24">
        <v>9.4499999999999993</v>
      </c>
      <c r="F264" s="24">
        <v>11.54</v>
      </c>
      <c r="G264" s="24">
        <v>8.5</v>
      </c>
      <c r="H264" s="28">
        <v>13.75</v>
      </c>
      <c r="I264" s="28">
        <v>4.5</v>
      </c>
      <c r="J264" s="24">
        <f t="shared" si="21"/>
        <v>55.839999999999996</v>
      </c>
      <c r="K264" s="24">
        <v>13.23</v>
      </c>
      <c r="L264" s="25">
        <f t="shared" si="24"/>
        <v>69.069999999999993</v>
      </c>
    </row>
    <row r="265" spans="1:12">
      <c r="A265" s="26">
        <f t="shared" si="23"/>
        <v>19</v>
      </c>
      <c r="B265" s="45">
        <v>200940354</v>
      </c>
      <c r="C265" s="56" t="s">
        <v>264</v>
      </c>
      <c r="D265" s="24">
        <v>2.7</v>
      </c>
      <c r="E265" s="24">
        <v>3.82</v>
      </c>
      <c r="F265" s="24">
        <v>10.23</v>
      </c>
      <c r="G265" s="24">
        <v>7.1661000000000001</v>
      </c>
      <c r="H265" s="28">
        <v>14</v>
      </c>
      <c r="I265" s="28">
        <v>4.5</v>
      </c>
      <c r="J265" s="24">
        <f t="shared" si="21"/>
        <v>42.416100000000007</v>
      </c>
      <c r="K265" s="24">
        <v>6.92</v>
      </c>
      <c r="L265" s="25">
        <f>+K265+J265</f>
        <v>49.336100000000009</v>
      </c>
    </row>
    <row r="266" spans="1:12">
      <c r="A266" s="26">
        <f t="shared" si="23"/>
        <v>20</v>
      </c>
      <c r="B266" s="45">
        <v>200940364</v>
      </c>
      <c r="C266" s="60" t="s">
        <v>265</v>
      </c>
      <c r="D266" s="24">
        <v>2.4</v>
      </c>
      <c r="E266" s="24">
        <v>3.53</v>
      </c>
      <c r="F266" s="24">
        <v>5.77</v>
      </c>
      <c r="G266" s="24">
        <v>4.5</v>
      </c>
      <c r="H266" s="24">
        <v>0</v>
      </c>
      <c r="I266" s="24">
        <v>4.5</v>
      </c>
      <c r="J266" s="24">
        <f>+I266+H266+G266+F266+D266</f>
        <v>17.169999999999998</v>
      </c>
      <c r="K266" s="24" t="s">
        <v>475</v>
      </c>
      <c r="L266" s="25">
        <f>+J266</f>
        <v>17.169999999999998</v>
      </c>
    </row>
    <row r="267" spans="1:12">
      <c r="A267" s="26">
        <f t="shared" si="23"/>
        <v>21</v>
      </c>
      <c r="B267" s="45">
        <v>200940366</v>
      </c>
      <c r="C267" s="56" t="s">
        <v>266</v>
      </c>
      <c r="D267" s="24">
        <v>9.3000000000000007</v>
      </c>
      <c r="E267" s="24">
        <v>9.91</v>
      </c>
      <c r="F267" s="24">
        <v>11.93</v>
      </c>
      <c r="G267" s="24">
        <v>10.17</v>
      </c>
      <c r="H267" s="24">
        <v>11.5</v>
      </c>
      <c r="I267" s="24">
        <v>4.5</v>
      </c>
      <c r="J267" s="24">
        <f t="shared" ref="J267:J301" si="26">+I267+H267+G267+F267+E267+D267</f>
        <v>57.31</v>
      </c>
      <c r="K267" s="24">
        <v>13.85</v>
      </c>
      <c r="L267" s="25">
        <f t="shared" si="24"/>
        <v>71.16</v>
      </c>
    </row>
    <row r="268" spans="1:12">
      <c r="A268" s="26">
        <f t="shared" si="23"/>
        <v>22</v>
      </c>
      <c r="B268" s="45">
        <v>200940367</v>
      </c>
      <c r="C268" s="56" t="s">
        <v>267</v>
      </c>
      <c r="D268" s="24">
        <v>3.6</v>
      </c>
      <c r="E268" s="24">
        <v>6.27</v>
      </c>
      <c r="F268" s="24">
        <v>10.96</v>
      </c>
      <c r="G268" s="24">
        <v>7.99</v>
      </c>
      <c r="H268" s="24">
        <v>13.37</v>
      </c>
      <c r="I268" s="24">
        <v>4.5</v>
      </c>
      <c r="J268" s="24">
        <f t="shared" si="26"/>
        <v>46.690000000000005</v>
      </c>
      <c r="K268" s="24">
        <v>14.31</v>
      </c>
      <c r="L268" s="25">
        <f t="shared" si="24"/>
        <v>61.000000000000007</v>
      </c>
    </row>
    <row r="269" spans="1:12">
      <c r="A269" s="26">
        <f t="shared" si="23"/>
        <v>23</v>
      </c>
      <c r="B269" s="45">
        <v>200940368</v>
      </c>
      <c r="C269" s="56" t="s">
        <v>268</v>
      </c>
      <c r="D269" s="24">
        <v>10.8</v>
      </c>
      <c r="E269" s="24">
        <v>11.62</v>
      </c>
      <c r="F269" s="24">
        <v>11.15</v>
      </c>
      <c r="G269" s="24">
        <v>6.67</v>
      </c>
      <c r="H269" s="24">
        <v>13.87</v>
      </c>
      <c r="I269" s="24">
        <v>4.5</v>
      </c>
      <c r="J269" s="24">
        <f t="shared" si="26"/>
        <v>58.61</v>
      </c>
      <c r="K269" s="24">
        <v>11.54</v>
      </c>
      <c r="L269" s="25">
        <f t="shared" si="24"/>
        <v>70.150000000000006</v>
      </c>
    </row>
    <row r="270" spans="1:12">
      <c r="A270" s="26">
        <f t="shared" si="23"/>
        <v>24</v>
      </c>
      <c r="B270" s="45">
        <v>200940370</v>
      </c>
      <c r="C270" s="58" t="s">
        <v>269</v>
      </c>
      <c r="D270" s="24">
        <v>2.1</v>
      </c>
      <c r="E270" s="24">
        <v>8.6300000000000008</v>
      </c>
      <c r="F270" s="24">
        <v>8.4600000000000009</v>
      </c>
      <c r="G270" s="24">
        <v>9.6999999999999993</v>
      </c>
      <c r="H270" s="24">
        <v>8.8699999999999992</v>
      </c>
      <c r="I270" s="24">
        <v>4.5</v>
      </c>
      <c r="J270" s="24">
        <f t="shared" si="26"/>
        <v>42.260000000000005</v>
      </c>
      <c r="K270" s="24">
        <v>2.15</v>
      </c>
      <c r="L270" s="25">
        <f t="shared" si="24"/>
        <v>44.410000000000004</v>
      </c>
    </row>
    <row r="271" spans="1:12">
      <c r="A271" s="26">
        <f t="shared" si="23"/>
        <v>25</v>
      </c>
      <c r="B271" s="57">
        <v>200940431</v>
      </c>
      <c r="C271" s="60" t="s">
        <v>270</v>
      </c>
      <c r="D271" s="24">
        <v>3.9</v>
      </c>
      <c r="E271" s="24">
        <v>5.13</v>
      </c>
      <c r="F271" s="24">
        <v>12.31</v>
      </c>
      <c r="G271" s="24">
        <v>7.5</v>
      </c>
      <c r="H271" s="24">
        <v>14.25</v>
      </c>
      <c r="I271" s="24">
        <v>4.5</v>
      </c>
      <c r="J271" s="24">
        <f t="shared" si="26"/>
        <v>47.59</v>
      </c>
      <c r="K271" s="24">
        <v>13.5</v>
      </c>
      <c r="L271" s="25">
        <f t="shared" si="24"/>
        <v>61.09</v>
      </c>
    </row>
    <row r="272" spans="1:12">
      <c r="A272" s="26">
        <f t="shared" si="23"/>
        <v>26</v>
      </c>
      <c r="B272" s="45">
        <v>200940435</v>
      </c>
      <c r="C272" s="60" t="s">
        <v>271</v>
      </c>
      <c r="D272" s="24">
        <v>4.2</v>
      </c>
      <c r="E272" s="24">
        <v>5.13</v>
      </c>
      <c r="F272" s="24">
        <v>8.86</v>
      </c>
      <c r="G272" s="24">
        <v>9.33</v>
      </c>
      <c r="H272" s="24">
        <v>13</v>
      </c>
      <c r="I272" s="24">
        <v>4.5</v>
      </c>
      <c r="J272" s="24">
        <f t="shared" si="26"/>
        <v>45.02</v>
      </c>
      <c r="K272" s="24">
        <v>9.99</v>
      </c>
      <c r="L272" s="25">
        <f t="shared" si="24"/>
        <v>55.010000000000005</v>
      </c>
    </row>
    <row r="273" spans="1:12">
      <c r="A273" s="26">
        <f t="shared" si="23"/>
        <v>27</v>
      </c>
      <c r="B273" s="57">
        <v>200940488</v>
      </c>
      <c r="C273" s="60" t="s">
        <v>272</v>
      </c>
      <c r="D273" s="24">
        <v>2.1</v>
      </c>
      <c r="E273" s="24">
        <v>9.74</v>
      </c>
      <c r="F273" s="24">
        <v>8.08</v>
      </c>
      <c r="G273" s="24">
        <v>8.99</v>
      </c>
      <c r="H273" s="24">
        <v>8.3699999999999992</v>
      </c>
      <c r="I273" s="24">
        <v>5</v>
      </c>
      <c r="J273" s="24">
        <f t="shared" si="26"/>
        <v>42.28</v>
      </c>
      <c r="K273" s="24">
        <v>6.77</v>
      </c>
      <c r="L273" s="25">
        <f>+K273+J273</f>
        <v>49.05</v>
      </c>
    </row>
    <row r="274" spans="1:12">
      <c r="A274" s="26">
        <f t="shared" si="23"/>
        <v>28</v>
      </c>
      <c r="B274" s="57">
        <v>200940494</v>
      </c>
      <c r="C274" s="60" t="s">
        <v>273</v>
      </c>
      <c r="D274" s="24">
        <v>5.0999999999999996</v>
      </c>
      <c r="E274" s="24">
        <v>10.42</v>
      </c>
      <c r="F274" s="24">
        <v>8.85</v>
      </c>
      <c r="G274" s="24">
        <v>9.6999999999999993</v>
      </c>
      <c r="H274" s="24">
        <v>12.25</v>
      </c>
      <c r="I274" s="24">
        <v>4.5</v>
      </c>
      <c r="J274" s="24">
        <f t="shared" si="26"/>
        <v>50.82</v>
      </c>
      <c r="K274" s="24">
        <v>7.38</v>
      </c>
      <c r="L274" s="25">
        <f t="shared" si="24"/>
        <v>58.2</v>
      </c>
    </row>
    <row r="275" spans="1:12">
      <c r="A275" s="26">
        <f t="shared" si="23"/>
        <v>29</v>
      </c>
      <c r="B275" s="45">
        <v>200940495</v>
      </c>
      <c r="C275" s="56" t="s">
        <v>274</v>
      </c>
      <c r="D275" s="24">
        <v>3.3</v>
      </c>
      <c r="E275" s="24">
        <v>5.64</v>
      </c>
      <c r="F275" s="24">
        <v>6.82</v>
      </c>
      <c r="G275" s="24">
        <v>3.33</v>
      </c>
      <c r="H275" s="24">
        <v>0</v>
      </c>
      <c r="I275" s="24">
        <v>4.5</v>
      </c>
      <c r="J275" s="24">
        <f t="shared" si="26"/>
        <v>23.59</v>
      </c>
      <c r="K275" s="24" t="s">
        <v>475</v>
      </c>
      <c r="L275" s="25">
        <f>+J275</f>
        <v>23.59</v>
      </c>
    </row>
    <row r="276" spans="1:12">
      <c r="A276" s="26">
        <f t="shared" si="23"/>
        <v>30</v>
      </c>
      <c r="B276" s="57">
        <v>200940497</v>
      </c>
      <c r="C276" s="56" t="s">
        <v>275</v>
      </c>
      <c r="D276" s="24">
        <v>4.2</v>
      </c>
      <c r="E276" s="24">
        <v>5.35</v>
      </c>
      <c r="F276" s="24">
        <v>5.77</v>
      </c>
      <c r="G276" s="24">
        <v>4.33</v>
      </c>
      <c r="H276" s="24">
        <v>0</v>
      </c>
      <c r="I276" s="24">
        <v>4.5</v>
      </c>
      <c r="J276" s="24">
        <f t="shared" si="26"/>
        <v>24.15</v>
      </c>
      <c r="K276" s="24" t="s">
        <v>475</v>
      </c>
      <c r="L276" s="25">
        <f>+J276</f>
        <v>24.15</v>
      </c>
    </row>
    <row r="277" spans="1:12">
      <c r="A277" s="26">
        <f t="shared" si="23"/>
        <v>31</v>
      </c>
      <c r="B277" s="45">
        <v>200940507</v>
      </c>
      <c r="C277" s="58" t="s">
        <v>276</v>
      </c>
      <c r="D277" s="24">
        <v>7.8</v>
      </c>
      <c r="E277" s="24">
        <v>13.16</v>
      </c>
      <c r="F277" s="24">
        <v>8.25</v>
      </c>
      <c r="G277" s="24">
        <v>9.3324999999999996</v>
      </c>
      <c r="H277" s="24">
        <v>13.87</v>
      </c>
      <c r="I277" s="24">
        <v>4.5</v>
      </c>
      <c r="J277" s="24">
        <f t="shared" si="26"/>
        <v>56.912499999999994</v>
      </c>
      <c r="K277" s="24">
        <v>11.23</v>
      </c>
      <c r="L277" s="25">
        <f t="shared" si="24"/>
        <v>68.142499999999998</v>
      </c>
    </row>
    <row r="278" spans="1:12">
      <c r="A278" s="26">
        <f t="shared" si="23"/>
        <v>32</v>
      </c>
      <c r="B278" s="45">
        <v>200940508</v>
      </c>
      <c r="C278" s="60" t="s">
        <v>277</v>
      </c>
      <c r="D278" s="24">
        <v>6.9</v>
      </c>
      <c r="E278" s="24">
        <v>5.64</v>
      </c>
      <c r="F278" s="24">
        <v>10.57</v>
      </c>
      <c r="G278" s="24">
        <v>7.4992999999999999</v>
      </c>
      <c r="H278" s="24">
        <v>10.75</v>
      </c>
      <c r="I278" s="24">
        <v>4.5</v>
      </c>
      <c r="J278" s="24">
        <f t="shared" si="26"/>
        <v>45.859299999999998</v>
      </c>
      <c r="K278" s="24">
        <v>12.61</v>
      </c>
      <c r="L278" s="25">
        <f t="shared" si="24"/>
        <v>58.469299999999997</v>
      </c>
    </row>
    <row r="279" spans="1:12">
      <c r="A279" s="26">
        <f t="shared" si="23"/>
        <v>33</v>
      </c>
      <c r="B279" s="45">
        <v>200940529</v>
      </c>
      <c r="C279" s="56" t="s">
        <v>278</v>
      </c>
      <c r="D279" s="24">
        <v>8.1</v>
      </c>
      <c r="E279" s="24">
        <v>11.33</v>
      </c>
      <c r="F279" s="24">
        <v>11.15</v>
      </c>
      <c r="G279" s="24">
        <v>11.165900000000001</v>
      </c>
      <c r="H279" s="24">
        <v>12</v>
      </c>
      <c r="I279" s="24">
        <v>4.5</v>
      </c>
      <c r="J279" s="24">
        <f t="shared" si="26"/>
        <v>58.245899999999999</v>
      </c>
      <c r="K279" s="24">
        <v>12.46</v>
      </c>
      <c r="L279" s="25">
        <f t="shared" si="24"/>
        <v>70.7059</v>
      </c>
    </row>
    <row r="280" spans="1:12">
      <c r="A280" s="26">
        <f t="shared" si="23"/>
        <v>34</v>
      </c>
      <c r="B280" s="45">
        <v>200940533</v>
      </c>
      <c r="C280" s="56" t="s">
        <v>279</v>
      </c>
      <c r="D280" s="24">
        <v>2.7</v>
      </c>
      <c r="E280" s="24">
        <v>2.39</v>
      </c>
      <c r="F280" s="24">
        <v>0</v>
      </c>
      <c r="G280" s="24">
        <v>0</v>
      </c>
      <c r="H280" s="24">
        <v>0</v>
      </c>
      <c r="I280" s="24">
        <v>0</v>
      </c>
      <c r="J280" s="24">
        <f t="shared" si="26"/>
        <v>5.09</v>
      </c>
      <c r="K280" s="24" t="s">
        <v>475</v>
      </c>
      <c r="L280" s="25">
        <f>+J280</f>
        <v>5.09</v>
      </c>
    </row>
    <row r="281" spans="1:12">
      <c r="A281" s="26">
        <f t="shared" si="23"/>
        <v>35</v>
      </c>
      <c r="B281" s="57">
        <v>200941310</v>
      </c>
      <c r="C281" s="56" t="s">
        <v>280</v>
      </c>
      <c r="D281" s="24">
        <v>3.9</v>
      </c>
      <c r="E281" s="24">
        <v>2.57</v>
      </c>
      <c r="F281" s="24">
        <v>7.5</v>
      </c>
      <c r="G281" s="24">
        <v>8.67</v>
      </c>
      <c r="H281" s="24">
        <v>13.87</v>
      </c>
      <c r="I281" s="24">
        <v>4.5</v>
      </c>
      <c r="J281" s="24">
        <f t="shared" si="26"/>
        <v>41.01</v>
      </c>
      <c r="K281" s="24">
        <v>2.77</v>
      </c>
      <c r="L281" s="25">
        <f>+K281+J281</f>
        <v>43.78</v>
      </c>
    </row>
    <row r="282" spans="1:12">
      <c r="A282" s="26">
        <f t="shared" si="23"/>
        <v>36</v>
      </c>
      <c r="B282" s="45">
        <v>200941429</v>
      </c>
      <c r="C282" s="56" t="s">
        <v>281</v>
      </c>
      <c r="D282" s="24">
        <v>3.6</v>
      </c>
      <c r="E282" s="24">
        <v>7.63</v>
      </c>
      <c r="F282" s="24">
        <v>9.6199999999999992</v>
      </c>
      <c r="G282" s="24">
        <v>4.17</v>
      </c>
      <c r="H282" s="24">
        <v>12.75</v>
      </c>
      <c r="I282" s="24">
        <v>4.5</v>
      </c>
      <c r="J282" s="24">
        <f t="shared" si="26"/>
        <v>42.27</v>
      </c>
      <c r="K282" s="24">
        <v>2.62</v>
      </c>
      <c r="L282" s="25">
        <f>+K282+J282</f>
        <v>44.89</v>
      </c>
    </row>
    <row r="283" spans="1:12">
      <c r="A283" s="26">
        <f t="shared" si="23"/>
        <v>37</v>
      </c>
      <c r="B283" s="45">
        <v>200941431</v>
      </c>
      <c r="C283" s="56" t="s">
        <v>282</v>
      </c>
      <c r="D283" s="24">
        <v>3.9</v>
      </c>
      <c r="E283" s="24">
        <v>4.28</v>
      </c>
      <c r="F283" s="24">
        <v>11.92</v>
      </c>
      <c r="G283" s="24">
        <v>7.17</v>
      </c>
      <c r="H283" s="24">
        <v>11.37</v>
      </c>
      <c r="I283" s="24">
        <v>2.5</v>
      </c>
      <c r="J283" s="24">
        <f t="shared" si="26"/>
        <v>41.14</v>
      </c>
      <c r="K283" s="24" t="s">
        <v>476</v>
      </c>
      <c r="L283" s="25">
        <v>41.14</v>
      </c>
    </row>
    <row r="284" spans="1:12">
      <c r="A284" s="26">
        <f t="shared" si="23"/>
        <v>38</v>
      </c>
      <c r="B284" s="45">
        <v>200942148</v>
      </c>
      <c r="C284" s="60" t="s">
        <v>283</v>
      </c>
      <c r="D284" s="24">
        <v>5.7</v>
      </c>
      <c r="E284" s="24">
        <v>8.5399999999999991</v>
      </c>
      <c r="F284" s="24">
        <v>6.48</v>
      </c>
      <c r="G284" s="24">
        <v>4.17</v>
      </c>
      <c r="H284" s="24">
        <v>5.25</v>
      </c>
      <c r="I284" s="24">
        <v>4.5</v>
      </c>
      <c r="J284" s="24">
        <f t="shared" si="26"/>
        <v>34.64</v>
      </c>
      <c r="K284" s="24" t="s">
        <v>475</v>
      </c>
      <c r="L284" s="25">
        <f>+J284</f>
        <v>34.64</v>
      </c>
    </row>
    <row r="285" spans="1:12">
      <c r="A285" s="26">
        <f t="shared" si="23"/>
        <v>39</v>
      </c>
      <c r="B285" s="45">
        <v>200942756</v>
      </c>
      <c r="C285" s="56" t="s">
        <v>284</v>
      </c>
      <c r="D285" s="24">
        <v>1.5</v>
      </c>
      <c r="E285" s="24">
        <v>4.78</v>
      </c>
      <c r="F285" s="24">
        <v>6.89</v>
      </c>
      <c r="G285" s="24">
        <v>0</v>
      </c>
      <c r="H285" s="24">
        <v>0</v>
      </c>
      <c r="I285" s="24">
        <v>4.5</v>
      </c>
      <c r="J285" s="24">
        <f t="shared" si="26"/>
        <v>17.670000000000002</v>
      </c>
      <c r="K285" s="24" t="s">
        <v>475</v>
      </c>
      <c r="L285" s="25">
        <f>+J285</f>
        <v>17.670000000000002</v>
      </c>
    </row>
    <row r="286" spans="1:12">
      <c r="A286" s="26">
        <f t="shared" si="23"/>
        <v>40</v>
      </c>
      <c r="B286" s="57">
        <v>200942839</v>
      </c>
      <c r="C286" s="58" t="s">
        <v>285</v>
      </c>
      <c r="D286" s="24">
        <v>5.0999999999999996</v>
      </c>
      <c r="E286" s="24">
        <v>6.21</v>
      </c>
      <c r="F286" s="24">
        <v>7.5</v>
      </c>
      <c r="G286" s="24">
        <v>6.67</v>
      </c>
      <c r="H286" s="24">
        <v>11.5</v>
      </c>
      <c r="I286" s="24">
        <v>4.5</v>
      </c>
      <c r="J286" s="24">
        <f t="shared" si="26"/>
        <v>41.480000000000004</v>
      </c>
      <c r="K286" s="24">
        <v>2.46</v>
      </c>
      <c r="L286" s="25">
        <f t="shared" si="24"/>
        <v>43.940000000000005</v>
      </c>
    </row>
    <row r="287" spans="1:12">
      <c r="A287" s="26">
        <f t="shared" si="23"/>
        <v>41</v>
      </c>
      <c r="B287" s="45">
        <v>200942841</v>
      </c>
      <c r="C287" s="56" t="s">
        <v>286</v>
      </c>
      <c r="D287" s="24">
        <v>2.4</v>
      </c>
      <c r="E287" s="24">
        <v>3.25</v>
      </c>
      <c r="F287" s="24">
        <v>6.48</v>
      </c>
      <c r="G287" s="24">
        <v>7.17</v>
      </c>
      <c r="H287" s="24">
        <v>9</v>
      </c>
      <c r="I287" s="24">
        <v>4.5</v>
      </c>
      <c r="J287" s="24">
        <f t="shared" si="26"/>
        <v>32.800000000000004</v>
      </c>
      <c r="K287" s="24" t="s">
        <v>475</v>
      </c>
      <c r="L287" s="25">
        <f>+J287</f>
        <v>32.800000000000004</v>
      </c>
    </row>
    <row r="288" spans="1:12">
      <c r="A288" s="26">
        <f t="shared" si="23"/>
        <v>42</v>
      </c>
      <c r="B288" s="45">
        <v>200943124</v>
      </c>
      <c r="C288" s="56" t="s">
        <v>364</v>
      </c>
      <c r="D288" s="24">
        <v>5.35</v>
      </c>
      <c r="E288" s="24">
        <v>5.35</v>
      </c>
      <c r="F288" s="24">
        <v>6.82</v>
      </c>
      <c r="G288" s="24">
        <v>8.99</v>
      </c>
      <c r="H288" s="24">
        <v>9.75</v>
      </c>
      <c r="I288" s="24">
        <v>5</v>
      </c>
      <c r="J288" s="24">
        <f t="shared" si="26"/>
        <v>41.260000000000005</v>
      </c>
      <c r="K288" s="24">
        <v>1.85</v>
      </c>
      <c r="L288" s="25">
        <f t="shared" si="24"/>
        <v>43.110000000000007</v>
      </c>
    </row>
    <row r="289" spans="1:12">
      <c r="A289" s="26">
        <f t="shared" si="23"/>
        <v>43</v>
      </c>
      <c r="B289" s="45">
        <v>200943129</v>
      </c>
      <c r="C289" s="59" t="s">
        <v>287</v>
      </c>
      <c r="D289" s="24">
        <v>0.6</v>
      </c>
      <c r="E289" s="24">
        <v>1.43</v>
      </c>
      <c r="F289" s="24">
        <v>5.77</v>
      </c>
      <c r="G289" s="24">
        <v>0</v>
      </c>
      <c r="H289" s="24">
        <v>0</v>
      </c>
      <c r="I289" s="24">
        <v>0</v>
      </c>
      <c r="J289" s="24">
        <f t="shared" si="26"/>
        <v>7.7999999999999989</v>
      </c>
      <c r="K289" s="24" t="s">
        <v>475</v>
      </c>
      <c r="L289" s="25">
        <f>+J289</f>
        <v>7.7999999999999989</v>
      </c>
    </row>
    <row r="290" spans="1:12">
      <c r="A290" s="26">
        <f t="shared" si="23"/>
        <v>44</v>
      </c>
      <c r="B290" s="45">
        <v>200943311</v>
      </c>
      <c r="C290" s="59" t="s">
        <v>288</v>
      </c>
      <c r="D290" s="24">
        <v>0</v>
      </c>
      <c r="E290" s="24">
        <v>6.52</v>
      </c>
      <c r="F290" s="24">
        <v>6.82</v>
      </c>
      <c r="G290" s="24">
        <v>7.83</v>
      </c>
      <c r="H290" s="24">
        <v>10.25</v>
      </c>
      <c r="I290" s="24">
        <v>4.5</v>
      </c>
      <c r="J290" s="24">
        <f t="shared" si="26"/>
        <v>35.92</v>
      </c>
      <c r="K290" s="24" t="s">
        <v>475</v>
      </c>
      <c r="L290" s="25">
        <f t="shared" ref="L290:L293" si="27">+J290</f>
        <v>35.92</v>
      </c>
    </row>
    <row r="291" spans="1:12">
      <c r="A291" s="26">
        <f t="shared" si="23"/>
        <v>45</v>
      </c>
      <c r="B291" s="45">
        <v>200943324</v>
      </c>
      <c r="C291" s="56" t="s">
        <v>289</v>
      </c>
      <c r="D291" s="24">
        <v>1.5</v>
      </c>
      <c r="E291" s="24">
        <v>5.42</v>
      </c>
      <c r="F291" s="24">
        <v>7.84</v>
      </c>
      <c r="G291" s="24">
        <v>6.5</v>
      </c>
      <c r="H291" s="24">
        <v>7.75</v>
      </c>
      <c r="I291" s="24">
        <v>4.5</v>
      </c>
      <c r="J291" s="24">
        <f t="shared" si="26"/>
        <v>33.51</v>
      </c>
      <c r="K291" s="24" t="s">
        <v>475</v>
      </c>
      <c r="L291" s="25">
        <f t="shared" si="27"/>
        <v>33.51</v>
      </c>
    </row>
    <row r="292" spans="1:12">
      <c r="A292" s="26">
        <f t="shared" si="23"/>
        <v>46</v>
      </c>
      <c r="B292" s="45">
        <v>200943328</v>
      </c>
      <c r="C292" s="56" t="s">
        <v>290</v>
      </c>
      <c r="D292" s="24">
        <v>0.9</v>
      </c>
      <c r="E292" s="24">
        <v>0.56999999999999995</v>
      </c>
      <c r="F292" s="24">
        <v>4.2300000000000004</v>
      </c>
      <c r="G292" s="24">
        <v>8.16</v>
      </c>
      <c r="H292" s="24">
        <v>0</v>
      </c>
      <c r="I292" s="24">
        <v>4.5</v>
      </c>
      <c r="J292" s="24">
        <f t="shared" si="26"/>
        <v>18.36</v>
      </c>
      <c r="K292" s="24" t="s">
        <v>475</v>
      </c>
      <c r="L292" s="25">
        <f t="shared" si="27"/>
        <v>18.36</v>
      </c>
    </row>
    <row r="293" spans="1:12">
      <c r="A293" s="26">
        <f t="shared" si="23"/>
        <v>47</v>
      </c>
      <c r="B293" s="45">
        <v>200943367</v>
      </c>
      <c r="C293" s="56" t="s">
        <v>291</v>
      </c>
      <c r="D293" s="24">
        <v>1.8</v>
      </c>
      <c r="E293" s="24">
        <v>5.07</v>
      </c>
      <c r="F293" s="24">
        <v>6.54</v>
      </c>
      <c r="G293" s="24">
        <v>5.83</v>
      </c>
      <c r="H293" s="24">
        <v>9</v>
      </c>
      <c r="I293" s="24">
        <v>4.5</v>
      </c>
      <c r="J293" s="24">
        <f t="shared" si="26"/>
        <v>32.739999999999995</v>
      </c>
      <c r="K293" s="24" t="s">
        <v>475</v>
      </c>
      <c r="L293" s="25">
        <f t="shared" si="27"/>
        <v>32.739999999999995</v>
      </c>
    </row>
    <row r="294" spans="1:12">
      <c r="A294" s="26">
        <f t="shared" si="23"/>
        <v>48</v>
      </c>
      <c r="B294" s="45">
        <v>200943515</v>
      </c>
      <c r="C294" s="58" t="s">
        <v>292</v>
      </c>
      <c r="D294" s="24">
        <v>6.9</v>
      </c>
      <c r="E294" s="24">
        <v>5.56</v>
      </c>
      <c r="F294" s="24">
        <v>9.1</v>
      </c>
      <c r="G294" s="24">
        <v>6.83</v>
      </c>
      <c r="H294" s="24">
        <v>11.12</v>
      </c>
      <c r="I294" s="24">
        <v>4.5</v>
      </c>
      <c r="J294" s="24">
        <f t="shared" si="26"/>
        <v>44.01</v>
      </c>
      <c r="K294" s="24">
        <v>4.62</v>
      </c>
      <c r="L294" s="25">
        <f t="shared" si="24"/>
        <v>48.629999999999995</v>
      </c>
    </row>
    <row r="295" spans="1:12">
      <c r="A295" s="26">
        <f t="shared" si="23"/>
        <v>49</v>
      </c>
      <c r="B295" s="45">
        <v>200943644</v>
      </c>
      <c r="C295" s="58" t="s">
        <v>293</v>
      </c>
      <c r="D295" s="24">
        <v>1.2</v>
      </c>
      <c r="E295" s="24">
        <v>5.35</v>
      </c>
      <c r="F295" s="24">
        <v>5.77</v>
      </c>
      <c r="G295" s="24">
        <v>8.17</v>
      </c>
      <c r="H295" s="24">
        <v>6.62</v>
      </c>
      <c r="I295" s="24">
        <v>2.5</v>
      </c>
      <c r="J295" s="24">
        <f t="shared" si="26"/>
        <v>29.609999999999996</v>
      </c>
      <c r="K295" s="24" t="s">
        <v>475</v>
      </c>
      <c r="L295" s="25">
        <f>+J295</f>
        <v>29.609999999999996</v>
      </c>
    </row>
    <row r="296" spans="1:12">
      <c r="A296" s="26">
        <f t="shared" si="23"/>
        <v>50</v>
      </c>
      <c r="B296" s="45">
        <v>200943647</v>
      </c>
      <c r="C296" s="56" t="s">
        <v>294</v>
      </c>
      <c r="D296" s="24">
        <v>5.4</v>
      </c>
      <c r="E296" s="24">
        <v>5.53</v>
      </c>
      <c r="F296" s="24">
        <v>7.69</v>
      </c>
      <c r="G296" s="24">
        <v>0</v>
      </c>
      <c r="H296" s="24">
        <v>0</v>
      </c>
      <c r="I296" s="24">
        <v>2</v>
      </c>
      <c r="J296" s="24">
        <f t="shared" si="26"/>
        <v>20.620000000000005</v>
      </c>
      <c r="K296" s="24" t="s">
        <v>475</v>
      </c>
      <c r="L296" s="25">
        <f t="shared" ref="L296:L297" si="28">+J296</f>
        <v>20.620000000000005</v>
      </c>
    </row>
    <row r="297" spans="1:12">
      <c r="A297" s="26">
        <f t="shared" si="23"/>
        <v>51</v>
      </c>
      <c r="B297" s="45">
        <v>200943674</v>
      </c>
      <c r="C297" s="59" t="s">
        <v>295</v>
      </c>
      <c r="D297" s="24">
        <v>0.3</v>
      </c>
      <c r="E297" s="24">
        <v>1.1399999999999999</v>
      </c>
      <c r="F297" s="24">
        <v>6.15</v>
      </c>
      <c r="G297" s="24">
        <v>0</v>
      </c>
      <c r="H297" s="24">
        <v>0</v>
      </c>
      <c r="I297" s="24">
        <v>2.5</v>
      </c>
      <c r="J297" s="24">
        <f t="shared" si="26"/>
        <v>10.090000000000002</v>
      </c>
      <c r="K297" s="24" t="s">
        <v>475</v>
      </c>
      <c r="L297" s="25">
        <f t="shared" si="28"/>
        <v>10.090000000000002</v>
      </c>
    </row>
    <row r="298" spans="1:12">
      <c r="A298" s="26">
        <f t="shared" si="23"/>
        <v>52</v>
      </c>
      <c r="B298" s="57">
        <v>200944408</v>
      </c>
      <c r="C298" s="60" t="s">
        <v>296</v>
      </c>
      <c r="D298" s="24">
        <v>7.5</v>
      </c>
      <c r="E298" s="24">
        <v>5.53</v>
      </c>
      <c r="F298" s="24">
        <v>8.4600000000000009</v>
      </c>
      <c r="G298" s="24">
        <v>7.5</v>
      </c>
      <c r="H298" s="24">
        <v>11.62</v>
      </c>
      <c r="I298" s="24">
        <v>4.5</v>
      </c>
      <c r="J298" s="24">
        <f t="shared" si="26"/>
        <v>45.11</v>
      </c>
      <c r="K298" s="24">
        <v>6.62</v>
      </c>
      <c r="L298" s="25">
        <f t="shared" si="24"/>
        <v>51.73</v>
      </c>
    </row>
    <row r="299" spans="1:12">
      <c r="A299" s="26">
        <f t="shared" si="23"/>
        <v>53</v>
      </c>
      <c r="B299" s="57">
        <v>200945537</v>
      </c>
      <c r="C299" s="60" t="s">
        <v>297</v>
      </c>
      <c r="D299" s="24">
        <v>1.5</v>
      </c>
      <c r="E299" s="24">
        <v>1.85</v>
      </c>
      <c r="F299" s="24">
        <v>0</v>
      </c>
      <c r="G299" s="24">
        <v>0</v>
      </c>
      <c r="H299" s="24">
        <v>0</v>
      </c>
      <c r="I299" s="24">
        <v>0</v>
      </c>
      <c r="J299" s="24">
        <f t="shared" si="26"/>
        <v>3.35</v>
      </c>
      <c r="K299" s="24" t="s">
        <v>475</v>
      </c>
      <c r="L299" s="25">
        <f>+J299</f>
        <v>3.35</v>
      </c>
    </row>
    <row r="300" spans="1:12">
      <c r="A300" s="26">
        <f t="shared" si="23"/>
        <v>54</v>
      </c>
      <c r="B300" s="57">
        <v>200946029</v>
      </c>
      <c r="C300" s="60" t="s">
        <v>298</v>
      </c>
      <c r="D300" s="24">
        <v>3.9</v>
      </c>
      <c r="E300" s="24">
        <v>8.1999999999999993</v>
      </c>
      <c r="F300" s="24">
        <v>8.86</v>
      </c>
      <c r="G300" s="24">
        <v>7.4993999999999996</v>
      </c>
      <c r="H300" s="24">
        <v>8.8699999999999992</v>
      </c>
      <c r="I300" s="24">
        <v>4.5</v>
      </c>
      <c r="J300" s="24">
        <f t="shared" si="26"/>
        <v>41.8294</v>
      </c>
      <c r="K300" s="24">
        <v>8.92</v>
      </c>
      <c r="L300" s="25">
        <f t="shared" si="24"/>
        <v>50.749400000000001</v>
      </c>
    </row>
    <row r="301" spans="1:12">
      <c r="A301" s="26">
        <f t="shared" si="23"/>
        <v>55</v>
      </c>
      <c r="B301" s="45">
        <v>200946037</v>
      </c>
      <c r="C301" s="60" t="s">
        <v>299</v>
      </c>
      <c r="D301" s="24">
        <v>5.0999999999999996</v>
      </c>
      <c r="E301" s="24">
        <v>3.42</v>
      </c>
      <c r="F301" s="24">
        <v>4.62</v>
      </c>
      <c r="G301" s="24">
        <v>5.83</v>
      </c>
      <c r="H301" s="24">
        <v>0</v>
      </c>
      <c r="I301" s="24">
        <v>4.5</v>
      </c>
      <c r="J301" s="24">
        <f t="shared" si="26"/>
        <v>23.47</v>
      </c>
      <c r="K301" s="24" t="s">
        <v>475</v>
      </c>
      <c r="L301" s="25">
        <f>+J301</f>
        <v>23.47</v>
      </c>
    </row>
    <row r="302" spans="1:12">
      <c r="A302" s="29"/>
      <c r="B302" s="29"/>
      <c r="C302" s="30"/>
      <c r="D302" s="31"/>
      <c r="E302" s="31"/>
      <c r="F302" s="31"/>
      <c r="G302" s="31"/>
      <c r="H302" s="31"/>
      <c r="I302" s="31"/>
      <c r="J302" s="31"/>
      <c r="K302" s="31"/>
      <c r="L302" s="32"/>
    </row>
    <row r="303" spans="1:12">
      <c r="A303" s="29"/>
      <c r="B303" s="29"/>
      <c r="C303" s="30"/>
      <c r="D303" s="31"/>
      <c r="E303" s="31"/>
      <c r="F303" s="31"/>
      <c r="G303" s="31"/>
      <c r="H303" s="31"/>
      <c r="I303" s="31"/>
      <c r="J303" s="31"/>
      <c r="K303" s="31"/>
      <c r="L303" s="32"/>
    </row>
    <row r="304" spans="1:12" ht="17.25" thickBot="1">
      <c r="A304" s="33"/>
      <c r="B304" s="33"/>
      <c r="C304" s="34"/>
      <c r="D304" s="31"/>
      <c r="E304" s="31"/>
      <c r="F304" s="31"/>
      <c r="G304" s="31"/>
      <c r="H304" s="35"/>
      <c r="I304" s="35"/>
      <c r="J304" s="35"/>
      <c r="K304" s="9"/>
      <c r="L304" s="32"/>
    </row>
    <row r="305" spans="1:12">
      <c r="H305" s="100" t="s">
        <v>470</v>
      </c>
      <c r="I305" s="100"/>
      <c r="J305" s="100"/>
      <c r="L305" s="1"/>
    </row>
    <row r="306" spans="1:12">
      <c r="D306" s="36"/>
      <c r="H306" s="100" t="s">
        <v>21</v>
      </c>
      <c r="I306" s="100"/>
      <c r="J306" s="100"/>
      <c r="L306" s="1"/>
    </row>
    <row r="307" spans="1:12">
      <c r="D307" s="36"/>
      <c r="H307" s="100" t="s">
        <v>471</v>
      </c>
      <c r="I307" s="100"/>
      <c r="J307" s="100"/>
      <c r="L307" s="1"/>
    </row>
    <row r="313" spans="1:12" ht="17.25" thickBot="1">
      <c r="A313" s="1" t="s">
        <v>0</v>
      </c>
      <c r="I313" s="3"/>
    </row>
    <row r="314" spans="1:12">
      <c r="A314" s="1" t="s">
        <v>1</v>
      </c>
      <c r="F314" s="4"/>
      <c r="G314" s="5"/>
      <c r="H314" s="6"/>
      <c r="I314" s="7"/>
    </row>
    <row r="315" spans="1:12">
      <c r="A315" s="8" t="s">
        <v>2</v>
      </c>
      <c r="B315" s="9"/>
      <c r="E315" s="7"/>
      <c r="F315" s="10"/>
      <c r="G315" s="11"/>
      <c r="H315" s="12"/>
      <c r="I315" s="7"/>
    </row>
    <row r="316" spans="1:12" ht="17.25" thickBot="1">
      <c r="A316" s="13" t="s">
        <v>3</v>
      </c>
      <c r="B316" s="9"/>
      <c r="E316" s="7"/>
      <c r="F316" s="10"/>
      <c r="G316" s="11"/>
      <c r="H316" s="12"/>
      <c r="I316" s="7"/>
    </row>
    <row r="317" spans="1:12" ht="17.25" thickBot="1">
      <c r="A317" s="14" t="s">
        <v>22</v>
      </c>
      <c r="B317" s="15"/>
      <c r="C317" s="16"/>
      <c r="E317" s="7"/>
      <c r="F317" s="17"/>
      <c r="G317" s="18"/>
      <c r="H317" s="19"/>
      <c r="I317" s="7"/>
    </row>
    <row r="318" spans="1:12">
      <c r="A318" s="8"/>
      <c r="B318" s="9"/>
      <c r="E318" s="7"/>
      <c r="I318" s="3"/>
    </row>
    <row r="319" spans="1:12">
      <c r="A319" s="1" t="s">
        <v>91</v>
      </c>
      <c r="B319" s="9"/>
      <c r="C319" s="20" t="s">
        <v>365</v>
      </c>
      <c r="E319" s="7"/>
      <c r="I319" s="3"/>
    </row>
    <row r="320" spans="1:12">
      <c r="A320" s="1" t="s">
        <v>4</v>
      </c>
      <c r="C320" s="20" t="s">
        <v>468</v>
      </c>
      <c r="I320" s="3"/>
    </row>
    <row r="321" spans="1:12">
      <c r="A321" s="1" t="s">
        <v>5</v>
      </c>
      <c r="C321" s="20" t="s">
        <v>472</v>
      </c>
    </row>
    <row r="322" spans="1:12">
      <c r="A322" s="21"/>
      <c r="B322" s="21"/>
      <c r="C322" s="21"/>
      <c r="D322" s="21"/>
      <c r="E322" s="21"/>
      <c r="F322" s="21"/>
      <c r="G322" s="21"/>
      <c r="H322" s="21"/>
      <c r="I322" s="21"/>
      <c r="J322" s="21"/>
    </row>
    <row r="323" spans="1:12">
      <c r="A323" s="1"/>
      <c r="C323" s="22" t="s">
        <v>6</v>
      </c>
      <c r="D323" s="22" t="s">
        <v>93</v>
      </c>
      <c r="E323" s="22" t="s">
        <v>93</v>
      </c>
      <c r="F323" s="22" t="s">
        <v>93</v>
      </c>
      <c r="G323" s="22" t="s">
        <v>93</v>
      </c>
      <c r="H323" s="22" t="s">
        <v>93</v>
      </c>
      <c r="I323" s="22" t="s">
        <v>94</v>
      </c>
      <c r="J323" s="22" t="s">
        <v>8</v>
      </c>
      <c r="K323" s="22" t="s">
        <v>7</v>
      </c>
      <c r="L323" s="22" t="s">
        <v>9</v>
      </c>
    </row>
    <row r="324" spans="1:12">
      <c r="A324" s="22" t="s">
        <v>10</v>
      </c>
      <c r="B324" s="22" t="s">
        <v>11</v>
      </c>
      <c r="C324" s="22" t="s">
        <v>12</v>
      </c>
      <c r="D324" s="22" t="s">
        <v>13</v>
      </c>
      <c r="E324" s="22" t="s">
        <v>14</v>
      </c>
      <c r="F324" s="22" t="s">
        <v>15</v>
      </c>
      <c r="G324" s="22" t="s">
        <v>16</v>
      </c>
      <c r="H324" s="22" t="s">
        <v>17</v>
      </c>
      <c r="I324" s="22" t="s">
        <v>95</v>
      </c>
      <c r="J324" s="22" t="s">
        <v>18</v>
      </c>
      <c r="K324" s="22" t="s">
        <v>19</v>
      </c>
      <c r="L324" s="22" t="s">
        <v>20</v>
      </c>
    </row>
    <row r="325" spans="1:12">
      <c r="A325" s="23">
        <v>1</v>
      </c>
      <c r="B325" s="45">
        <v>200840057</v>
      </c>
      <c r="C325" s="56" t="s">
        <v>371</v>
      </c>
      <c r="D325" s="24">
        <v>0</v>
      </c>
      <c r="E325" s="24">
        <v>1.1399999999999999</v>
      </c>
      <c r="F325" s="24">
        <v>3.4</v>
      </c>
      <c r="G325" s="24">
        <v>0.66</v>
      </c>
      <c r="H325" s="24">
        <v>0</v>
      </c>
      <c r="I325" s="24">
        <v>0</v>
      </c>
      <c r="J325" s="24">
        <f>+I325+H325+G325+F325+D325</f>
        <v>4.0599999999999996</v>
      </c>
      <c r="K325" s="24" t="s">
        <v>475</v>
      </c>
      <c r="L325" s="25">
        <f>+J325</f>
        <v>4.0599999999999996</v>
      </c>
    </row>
    <row r="326" spans="1:12">
      <c r="A326" s="26">
        <f>1+A325</f>
        <v>2</v>
      </c>
      <c r="B326" s="45">
        <v>200840063</v>
      </c>
      <c r="C326" s="56" t="s">
        <v>372</v>
      </c>
      <c r="D326" s="24">
        <v>1.2</v>
      </c>
      <c r="E326" s="24">
        <v>1.53</v>
      </c>
      <c r="F326" s="24">
        <v>6.12</v>
      </c>
      <c r="G326" s="24">
        <v>0</v>
      </c>
      <c r="H326" s="24">
        <v>0</v>
      </c>
      <c r="I326" s="24">
        <v>0</v>
      </c>
      <c r="J326" s="24">
        <f t="shared" ref="J326:J343" si="29">+I326+H326+G326+F326+E326+D326</f>
        <v>8.85</v>
      </c>
      <c r="K326" s="24" t="s">
        <v>475</v>
      </c>
      <c r="L326" s="25">
        <f t="shared" ref="L326:L336" si="30">+J326</f>
        <v>8.85</v>
      </c>
    </row>
    <row r="327" spans="1:12">
      <c r="A327" s="26">
        <f t="shared" ref="A327:A368" si="31">1+A326</f>
        <v>3</v>
      </c>
      <c r="B327" s="45">
        <v>200840082</v>
      </c>
      <c r="C327" s="56" t="s">
        <v>373</v>
      </c>
      <c r="D327" s="24">
        <v>2.7</v>
      </c>
      <c r="E327" s="24">
        <v>0.56999999999999995</v>
      </c>
      <c r="F327" s="24">
        <v>8.5</v>
      </c>
      <c r="G327" s="24">
        <v>5.63</v>
      </c>
      <c r="H327" s="24">
        <v>5.25</v>
      </c>
      <c r="I327" s="24">
        <v>5</v>
      </c>
      <c r="J327" s="24">
        <f t="shared" si="29"/>
        <v>27.65</v>
      </c>
      <c r="K327" s="24" t="s">
        <v>475</v>
      </c>
      <c r="L327" s="25">
        <f t="shared" si="30"/>
        <v>27.65</v>
      </c>
    </row>
    <row r="328" spans="1:12">
      <c r="A328" s="26">
        <f t="shared" si="31"/>
        <v>4</v>
      </c>
      <c r="B328" s="45">
        <v>200840117</v>
      </c>
      <c r="C328" s="56" t="s">
        <v>374</v>
      </c>
      <c r="D328" s="24">
        <v>5.0999999999999996</v>
      </c>
      <c r="E328" s="24">
        <v>7.06</v>
      </c>
      <c r="F328" s="24">
        <v>6.8</v>
      </c>
      <c r="G328" s="24">
        <v>3.97</v>
      </c>
      <c r="H328" s="24">
        <v>0</v>
      </c>
      <c r="I328" s="24">
        <v>0</v>
      </c>
      <c r="J328" s="24">
        <f t="shared" si="29"/>
        <v>22.93</v>
      </c>
      <c r="K328" s="24" t="s">
        <v>475</v>
      </c>
      <c r="L328" s="25">
        <f t="shared" si="30"/>
        <v>22.93</v>
      </c>
    </row>
    <row r="329" spans="1:12">
      <c r="A329" s="26">
        <f t="shared" si="31"/>
        <v>5</v>
      </c>
      <c r="B329" s="45">
        <v>200840190</v>
      </c>
      <c r="C329" s="56" t="s">
        <v>379</v>
      </c>
      <c r="D329" s="24">
        <v>4.2</v>
      </c>
      <c r="E329" s="24">
        <v>5.81</v>
      </c>
      <c r="F329" s="24">
        <v>7.14</v>
      </c>
      <c r="G329" s="24">
        <v>4.63</v>
      </c>
      <c r="H329" s="24">
        <v>0</v>
      </c>
      <c r="I329" s="24">
        <v>0</v>
      </c>
      <c r="J329" s="24">
        <f t="shared" si="29"/>
        <v>21.779999999999998</v>
      </c>
      <c r="K329" s="24" t="s">
        <v>475</v>
      </c>
      <c r="L329" s="25">
        <f t="shared" si="30"/>
        <v>21.779999999999998</v>
      </c>
    </row>
    <row r="330" spans="1:12">
      <c r="A330" s="26">
        <f t="shared" si="31"/>
        <v>6</v>
      </c>
      <c r="B330" s="45">
        <v>200842080</v>
      </c>
      <c r="C330" s="56" t="s">
        <v>383</v>
      </c>
      <c r="D330" s="24">
        <v>3</v>
      </c>
      <c r="E330" s="24">
        <v>7.63</v>
      </c>
      <c r="F330" s="24">
        <v>3.4</v>
      </c>
      <c r="G330" s="24">
        <v>6.94</v>
      </c>
      <c r="H330" s="24">
        <v>11</v>
      </c>
      <c r="I330" s="24">
        <v>5</v>
      </c>
      <c r="J330" s="24">
        <f t="shared" si="29"/>
        <v>36.97</v>
      </c>
      <c r="K330" s="24" t="s">
        <v>475</v>
      </c>
      <c r="L330" s="25">
        <f t="shared" si="30"/>
        <v>36.97</v>
      </c>
    </row>
    <row r="331" spans="1:12">
      <c r="A331" s="26">
        <f t="shared" si="31"/>
        <v>7</v>
      </c>
      <c r="B331" s="45">
        <v>200842122</v>
      </c>
      <c r="C331" s="60" t="s">
        <v>384</v>
      </c>
      <c r="D331" s="24">
        <v>2.7</v>
      </c>
      <c r="E331" s="24">
        <v>0.56999999999999995</v>
      </c>
      <c r="F331" s="24">
        <v>3.4</v>
      </c>
      <c r="G331" s="24">
        <v>2.31</v>
      </c>
      <c r="H331" s="24">
        <v>2.5</v>
      </c>
      <c r="I331" s="24">
        <v>5</v>
      </c>
      <c r="J331" s="24">
        <f t="shared" si="29"/>
        <v>16.48</v>
      </c>
      <c r="K331" s="24" t="s">
        <v>475</v>
      </c>
      <c r="L331" s="25">
        <f t="shared" si="30"/>
        <v>16.48</v>
      </c>
    </row>
    <row r="332" spans="1:12">
      <c r="A332" s="26">
        <f t="shared" si="31"/>
        <v>8</v>
      </c>
      <c r="B332" s="45">
        <v>200842241</v>
      </c>
      <c r="C332" s="56" t="s">
        <v>385</v>
      </c>
      <c r="D332" s="24">
        <v>2.1</v>
      </c>
      <c r="E332" s="24">
        <v>0</v>
      </c>
      <c r="F332" s="24">
        <f>G332</f>
        <v>6.27</v>
      </c>
      <c r="G332" s="24">
        <v>6.27</v>
      </c>
      <c r="H332" s="24">
        <v>9.75</v>
      </c>
      <c r="I332" s="24">
        <v>5</v>
      </c>
      <c r="J332" s="24">
        <f t="shared" si="29"/>
        <v>29.39</v>
      </c>
      <c r="K332" s="24" t="s">
        <v>475</v>
      </c>
      <c r="L332" s="25">
        <f t="shared" si="30"/>
        <v>29.39</v>
      </c>
    </row>
    <row r="333" spans="1:12">
      <c r="A333" s="26">
        <f t="shared" si="31"/>
        <v>9</v>
      </c>
      <c r="B333" s="45">
        <v>200842422</v>
      </c>
      <c r="C333" s="56" t="s">
        <v>386</v>
      </c>
      <c r="D333" s="24">
        <v>2.7</v>
      </c>
      <c r="E333" s="24">
        <v>6.12</v>
      </c>
      <c r="F333" s="24">
        <v>6.12</v>
      </c>
      <c r="G333" s="24">
        <v>4.6100000000000003</v>
      </c>
      <c r="H333" s="24">
        <v>5.25</v>
      </c>
      <c r="I333" s="24">
        <v>5</v>
      </c>
      <c r="J333" s="24">
        <f t="shared" si="29"/>
        <v>29.8</v>
      </c>
      <c r="K333" s="24" t="s">
        <v>475</v>
      </c>
      <c r="L333" s="25">
        <f t="shared" si="30"/>
        <v>29.8</v>
      </c>
    </row>
    <row r="334" spans="1:12">
      <c r="A334" s="26">
        <f t="shared" si="31"/>
        <v>10</v>
      </c>
      <c r="B334" s="45">
        <v>200842701</v>
      </c>
      <c r="C334" s="56" t="s">
        <v>388</v>
      </c>
      <c r="D334" s="24">
        <v>5.7</v>
      </c>
      <c r="E334" s="24">
        <v>10.87</v>
      </c>
      <c r="F334" s="24">
        <v>8.16</v>
      </c>
      <c r="G334" s="24">
        <v>4.29</v>
      </c>
      <c r="H334" s="24">
        <v>0</v>
      </c>
      <c r="I334" s="24">
        <v>0</v>
      </c>
      <c r="J334" s="24">
        <f t="shared" si="29"/>
        <v>29.02</v>
      </c>
      <c r="K334" s="24" t="s">
        <v>475</v>
      </c>
      <c r="L334" s="25">
        <f t="shared" si="30"/>
        <v>29.02</v>
      </c>
    </row>
    <row r="335" spans="1:12">
      <c r="A335" s="26">
        <f t="shared" si="31"/>
        <v>11</v>
      </c>
      <c r="B335" s="45">
        <v>200843354</v>
      </c>
      <c r="C335" s="59" t="s">
        <v>389</v>
      </c>
      <c r="D335" s="24">
        <v>2.7</v>
      </c>
      <c r="E335" s="24">
        <v>8.6</v>
      </c>
      <c r="F335" s="24">
        <v>8.5</v>
      </c>
      <c r="G335" s="24">
        <v>5.95</v>
      </c>
      <c r="H335" s="24">
        <v>7.25</v>
      </c>
      <c r="I335" s="24">
        <v>5</v>
      </c>
      <c r="J335" s="24">
        <f t="shared" si="29"/>
        <v>38</v>
      </c>
      <c r="K335" s="24" t="s">
        <v>475</v>
      </c>
      <c r="L335" s="25">
        <f t="shared" si="30"/>
        <v>38</v>
      </c>
    </row>
    <row r="336" spans="1:12">
      <c r="A336" s="26">
        <f t="shared" si="31"/>
        <v>12</v>
      </c>
      <c r="B336" s="45">
        <v>200843490</v>
      </c>
      <c r="C336" s="56" t="s">
        <v>390</v>
      </c>
      <c r="D336" s="24">
        <v>4.2</v>
      </c>
      <c r="E336" s="24">
        <v>8.8800000000000008</v>
      </c>
      <c r="F336" s="24">
        <v>4.08</v>
      </c>
      <c r="G336" s="24">
        <v>1.66</v>
      </c>
      <c r="H336" s="24">
        <v>0</v>
      </c>
      <c r="I336" s="24">
        <v>0</v>
      </c>
      <c r="J336" s="24">
        <f t="shared" si="29"/>
        <v>18.82</v>
      </c>
      <c r="K336" s="24" t="s">
        <v>475</v>
      </c>
      <c r="L336" s="25">
        <f t="shared" si="30"/>
        <v>18.82</v>
      </c>
    </row>
    <row r="337" spans="1:12">
      <c r="A337" s="26">
        <f t="shared" si="31"/>
        <v>13</v>
      </c>
      <c r="B337" s="45">
        <v>200940459</v>
      </c>
      <c r="C337" s="56" t="s">
        <v>394</v>
      </c>
      <c r="D337" s="24">
        <v>4.8</v>
      </c>
      <c r="E337" s="24">
        <v>10.98</v>
      </c>
      <c r="F337" s="24">
        <v>7.14</v>
      </c>
      <c r="G337" s="24">
        <v>4.96</v>
      </c>
      <c r="H337" s="24">
        <v>11.15</v>
      </c>
      <c r="I337" s="24">
        <v>5</v>
      </c>
      <c r="J337" s="24">
        <f t="shared" si="29"/>
        <v>44.03</v>
      </c>
      <c r="K337" s="24">
        <v>8.1</v>
      </c>
      <c r="L337" s="25">
        <f t="shared" ref="L337:L368" si="32">+K337+J337</f>
        <v>52.13</v>
      </c>
    </row>
    <row r="338" spans="1:12">
      <c r="A338" s="26">
        <f t="shared" si="31"/>
        <v>14</v>
      </c>
      <c r="B338" s="57">
        <v>200940500</v>
      </c>
      <c r="C338" s="56" t="s">
        <v>395</v>
      </c>
      <c r="D338" s="24">
        <v>7.8</v>
      </c>
      <c r="E338" s="24">
        <v>13.26</v>
      </c>
      <c r="F338" s="24">
        <v>10.199999999999999</v>
      </c>
      <c r="G338" s="24">
        <v>6.6</v>
      </c>
      <c r="H338" s="24">
        <v>14.5</v>
      </c>
      <c r="I338" s="24">
        <v>5</v>
      </c>
      <c r="J338" s="24">
        <f t="shared" si="29"/>
        <v>57.359999999999992</v>
      </c>
      <c r="K338" s="24">
        <v>13.5</v>
      </c>
      <c r="L338" s="25">
        <f t="shared" si="32"/>
        <v>70.859999999999985</v>
      </c>
    </row>
    <row r="339" spans="1:12">
      <c r="A339" s="26">
        <f t="shared" si="31"/>
        <v>15</v>
      </c>
      <c r="B339" s="45">
        <v>200940520</v>
      </c>
      <c r="C339" s="56" t="s">
        <v>396</v>
      </c>
      <c r="D339" s="24">
        <v>5.7</v>
      </c>
      <c r="E339" s="24">
        <v>6.2</v>
      </c>
      <c r="F339" s="24">
        <v>9.86</v>
      </c>
      <c r="G339" s="24">
        <v>6.28</v>
      </c>
      <c r="H339" s="24">
        <v>7.5</v>
      </c>
      <c r="I339" s="24">
        <v>5</v>
      </c>
      <c r="J339" s="24">
        <f t="shared" si="29"/>
        <v>40.540000000000006</v>
      </c>
      <c r="K339" s="24" t="s">
        <v>475</v>
      </c>
      <c r="L339" s="25">
        <f>+J339</f>
        <v>40.540000000000006</v>
      </c>
    </row>
    <row r="340" spans="1:12">
      <c r="A340" s="26">
        <f t="shared" si="31"/>
        <v>16</v>
      </c>
      <c r="B340" s="45">
        <v>200940528</v>
      </c>
      <c r="C340" s="56" t="s">
        <v>397</v>
      </c>
      <c r="D340" s="24">
        <v>3</v>
      </c>
      <c r="E340" s="24">
        <v>0</v>
      </c>
      <c r="F340" s="24">
        <v>0</v>
      </c>
      <c r="G340" s="24">
        <v>0</v>
      </c>
      <c r="H340" s="28">
        <v>0</v>
      </c>
      <c r="I340" s="28">
        <v>0</v>
      </c>
      <c r="J340" s="24">
        <f t="shared" si="29"/>
        <v>3</v>
      </c>
      <c r="K340" s="24" t="s">
        <v>475</v>
      </c>
      <c r="L340" s="25">
        <f t="shared" ref="L340:L361" si="33">+J340</f>
        <v>3</v>
      </c>
    </row>
    <row r="341" spans="1:12">
      <c r="A341" s="26">
        <f t="shared" si="31"/>
        <v>17</v>
      </c>
      <c r="B341" s="45">
        <v>200940536</v>
      </c>
      <c r="C341" s="56" t="s">
        <v>398</v>
      </c>
      <c r="D341" s="24">
        <v>3.6</v>
      </c>
      <c r="E341" s="24">
        <v>3.81</v>
      </c>
      <c r="F341" s="24">
        <v>10.9</v>
      </c>
      <c r="G341" s="24">
        <v>2.97</v>
      </c>
      <c r="H341" s="28">
        <v>10</v>
      </c>
      <c r="I341" s="28">
        <v>5</v>
      </c>
      <c r="J341" s="24">
        <f t="shared" si="29"/>
        <v>36.28</v>
      </c>
      <c r="K341" s="24" t="s">
        <v>475</v>
      </c>
      <c r="L341" s="25">
        <f t="shared" si="33"/>
        <v>36.28</v>
      </c>
    </row>
    <row r="342" spans="1:12">
      <c r="A342" s="26">
        <f t="shared" si="31"/>
        <v>18</v>
      </c>
      <c r="B342" s="45">
        <v>200940876</v>
      </c>
      <c r="C342" s="56" t="s">
        <v>399</v>
      </c>
      <c r="D342" s="24">
        <v>2.7</v>
      </c>
      <c r="E342" s="24">
        <v>2.2799999999999998</v>
      </c>
      <c r="F342" s="24">
        <v>7.14</v>
      </c>
      <c r="G342" s="24">
        <v>1.65</v>
      </c>
      <c r="H342" s="28">
        <v>3.75</v>
      </c>
      <c r="I342" s="28">
        <v>5</v>
      </c>
      <c r="J342" s="24">
        <f t="shared" si="29"/>
        <v>22.52</v>
      </c>
      <c r="K342" s="24" t="s">
        <v>475</v>
      </c>
      <c r="L342" s="25">
        <f t="shared" si="33"/>
        <v>22.52</v>
      </c>
    </row>
    <row r="343" spans="1:12">
      <c r="A343" s="26">
        <f t="shared" si="31"/>
        <v>19</v>
      </c>
      <c r="B343" s="45">
        <v>200940879</v>
      </c>
      <c r="C343" s="59" t="s">
        <v>400</v>
      </c>
      <c r="D343" s="24">
        <v>1.2</v>
      </c>
      <c r="E343" s="24">
        <v>1.1399999999999999</v>
      </c>
      <c r="F343" s="24">
        <v>7.48</v>
      </c>
      <c r="G343" s="24">
        <v>5.96</v>
      </c>
      <c r="H343" s="28">
        <v>0</v>
      </c>
      <c r="I343" s="28">
        <v>0</v>
      </c>
      <c r="J343" s="24">
        <f t="shared" si="29"/>
        <v>15.780000000000001</v>
      </c>
      <c r="K343" s="24" t="s">
        <v>475</v>
      </c>
      <c r="L343" s="25">
        <f t="shared" si="33"/>
        <v>15.780000000000001</v>
      </c>
    </row>
    <row r="344" spans="1:12">
      <c r="A344" s="26">
        <f t="shared" si="31"/>
        <v>20</v>
      </c>
      <c r="B344" s="57">
        <v>200941420</v>
      </c>
      <c r="C344" s="60" t="s">
        <v>401</v>
      </c>
      <c r="D344" s="24">
        <v>0</v>
      </c>
      <c r="E344" s="24">
        <v>0.85</v>
      </c>
      <c r="F344" s="24">
        <v>4.76</v>
      </c>
      <c r="G344" s="24">
        <v>4.3</v>
      </c>
      <c r="H344" s="24">
        <v>1</v>
      </c>
      <c r="I344" s="24">
        <v>5</v>
      </c>
      <c r="J344" s="24">
        <f>+I344+H344+G344+F344+D344</f>
        <v>15.06</v>
      </c>
      <c r="K344" s="24" t="s">
        <v>475</v>
      </c>
      <c r="L344" s="25">
        <f t="shared" si="33"/>
        <v>15.06</v>
      </c>
    </row>
    <row r="345" spans="1:12">
      <c r="A345" s="26">
        <f t="shared" si="31"/>
        <v>21</v>
      </c>
      <c r="B345" s="57">
        <v>200942150</v>
      </c>
      <c r="C345" s="60" t="s">
        <v>402</v>
      </c>
      <c r="D345" s="24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f t="shared" ref="J345:J368" si="34">+I345+H345+G345+F345+E345+D345</f>
        <v>0</v>
      </c>
      <c r="K345" s="24" t="s">
        <v>475</v>
      </c>
      <c r="L345" s="25">
        <f t="shared" si="33"/>
        <v>0</v>
      </c>
    </row>
    <row r="346" spans="1:12">
      <c r="A346" s="26">
        <f t="shared" si="31"/>
        <v>22</v>
      </c>
      <c r="B346" s="45">
        <v>200942163</v>
      </c>
      <c r="C346" s="56" t="s">
        <v>403</v>
      </c>
      <c r="D346" s="24">
        <v>7.2</v>
      </c>
      <c r="E346" s="24">
        <v>3.95</v>
      </c>
      <c r="F346" s="24">
        <v>11.22</v>
      </c>
      <c r="G346" s="24">
        <v>0</v>
      </c>
      <c r="H346" s="24">
        <v>10.25</v>
      </c>
      <c r="I346" s="24">
        <v>5</v>
      </c>
      <c r="J346" s="24">
        <f t="shared" si="34"/>
        <v>37.619999999999997</v>
      </c>
      <c r="K346" s="24" t="s">
        <v>475</v>
      </c>
      <c r="L346" s="25">
        <f t="shared" si="33"/>
        <v>37.619999999999997</v>
      </c>
    </row>
    <row r="347" spans="1:12">
      <c r="A347" s="26">
        <f t="shared" si="31"/>
        <v>23</v>
      </c>
      <c r="B347" s="45">
        <v>200942665</v>
      </c>
      <c r="C347" s="59" t="s">
        <v>404</v>
      </c>
      <c r="D347" s="24">
        <v>5.7</v>
      </c>
      <c r="E347" s="24">
        <v>5.63</v>
      </c>
      <c r="F347" s="24">
        <v>8.16</v>
      </c>
      <c r="G347" s="24">
        <v>5.62</v>
      </c>
      <c r="H347" s="24">
        <v>10.25</v>
      </c>
      <c r="I347" s="24">
        <v>5</v>
      </c>
      <c r="J347" s="24">
        <f t="shared" si="34"/>
        <v>40.360000000000007</v>
      </c>
      <c r="K347" s="24" t="s">
        <v>475</v>
      </c>
      <c r="L347" s="25">
        <f t="shared" si="33"/>
        <v>40.360000000000007</v>
      </c>
    </row>
    <row r="348" spans="1:12">
      <c r="A348" s="26">
        <f t="shared" si="31"/>
        <v>24</v>
      </c>
      <c r="B348" s="45">
        <v>200942674</v>
      </c>
      <c r="C348" s="56" t="s">
        <v>405</v>
      </c>
      <c r="D348" s="24">
        <v>0.6</v>
      </c>
      <c r="E348" s="24">
        <v>0</v>
      </c>
      <c r="F348" s="24">
        <v>0</v>
      </c>
      <c r="G348" s="24">
        <v>0</v>
      </c>
      <c r="H348" s="24">
        <v>0</v>
      </c>
      <c r="I348" s="24">
        <v>0</v>
      </c>
      <c r="J348" s="24">
        <f t="shared" si="34"/>
        <v>0.6</v>
      </c>
      <c r="K348" s="24" t="s">
        <v>475</v>
      </c>
      <c r="L348" s="25">
        <f t="shared" si="33"/>
        <v>0.6</v>
      </c>
    </row>
    <row r="349" spans="1:12">
      <c r="A349" s="26">
        <f t="shared" si="31"/>
        <v>25</v>
      </c>
      <c r="B349" s="45">
        <v>200942710</v>
      </c>
      <c r="C349" s="59" t="s">
        <v>406</v>
      </c>
      <c r="D349" s="24">
        <v>0.3</v>
      </c>
      <c r="E349" s="24">
        <v>4.5</v>
      </c>
      <c r="F349" s="24">
        <v>0</v>
      </c>
      <c r="G349" s="24">
        <v>0</v>
      </c>
      <c r="H349" s="24">
        <v>11.5</v>
      </c>
      <c r="I349" s="24">
        <v>5</v>
      </c>
      <c r="J349" s="24">
        <f t="shared" si="34"/>
        <v>21.3</v>
      </c>
      <c r="K349" s="24" t="s">
        <v>475</v>
      </c>
      <c r="L349" s="25">
        <f t="shared" si="33"/>
        <v>21.3</v>
      </c>
    </row>
    <row r="350" spans="1:12">
      <c r="A350" s="26">
        <f t="shared" si="31"/>
        <v>26</v>
      </c>
      <c r="B350" s="45">
        <v>200942784</v>
      </c>
      <c r="C350" s="58" t="s">
        <v>407</v>
      </c>
      <c r="D350" s="24">
        <v>7.8</v>
      </c>
      <c r="E350" s="24">
        <v>10.55</v>
      </c>
      <c r="F350" s="24">
        <v>11.56</v>
      </c>
      <c r="G350" s="24">
        <v>8.26</v>
      </c>
      <c r="H350" s="24">
        <v>11.5</v>
      </c>
      <c r="I350" s="24">
        <v>5</v>
      </c>
      <c r="J350" s="24">
        <f t="shared" si="34"/>
        <v>54.67</v>
      </c>
      <c r="K350" s="24">
        <v>10.5</v>
      </c>
      <c r="L350" s="25">
        <f>+K350+J350</f>
        <v>65.17</v>
      </c>
    </row>
    <row r="351" spans="1:12">
      <c r="A351" s="26">
        <f t="shared" si="31"/>
        <v>27</v>
      </c>
      <c r="B351" s="45">
        <v>200942848</v>
      </c>
      <c r="C351" s="56" t="s">
        <v>408</v>
      </c>
      <c r="D351" s="24">
        <v>1.8</v>
      </c>
      <c r="E351" s="24">
        <v>0</v>
      </c>
      <c r="F351" s="24">
        <v>0</v>
      </c>
      <c r="G351" s="24">
        <v>0</v>
      </c>
      <c r="H351" s="24">
        <v>0</v>
      </c>
      <c r="I351" s="24">
        <v>0</v>
      </c>
      <c r="J351" s="24">
        <f t="shared" si="34"/>
        <v>1.8</v>
      </c>
      <c r="K351" s="24" t="s">
        <v>475</v>
      </c>
      <c r="L351" s="25">
        <f t="shared" si="33"/>
        <v>1.8</v>
      </c>
    </row>
    <row r="352" spans="1:12">
      <c r="A352" s="26">
        <f t="shared" si="31"/>
        <v>28</v>
      </c>
      <c r="B352" s="45">
        <v>200942862</v>
      </c>
      <c r="C352" s="56" t="s">
        <v>409</v>
      </c>
      <c r="D352" s="24">
        <v>1.5</v>
      </c>
      <c r="E352" s="24">
        <v>2.1</v>
      </c>
      <c r="F352" s="24">
        <v>4.76</v>
      </c>
      <c r="G352" s="24">
        <v>1.98</v>
      </c>
      <c r="H352" s="24">
        <v>0</v>
      </c>
      <c r="I352" s="24">
        <v>0</v>
      </c>
      <c r="J352" s="24">
        <f t="shared" si="34"/>
        <v>10.34</v>
      </c>
      <c r="K352" s="24" t="s">
        <v>475</v>
      </c>
      <c r="L352" s="25">
        <f t="shared" si="33"/>
        <v>10.34</v>
      </c>
    </row>
    <row r="353" spans="1:12">
      <c r="A353" s="26">
        <f t="shared" si="31"/>
        <v>29</v>
      </c>
      <c r="B353" s="57">
        <v>200942871</v>
      </c>
      <c r="C353" s="60" t="s">
        <v>410</v>
      </c>
      <c r="D353" s="24">
        <v>4.5</v>
      </c>
      <c r="E353" s="24">
        <v>4.67</v>
      </c>
      <c r="F353" s="24">
        <v>9.18</v>
      </c>
      <c r="G353" s="24">
        <v>3.31</v>
      </c>
      <c r="H353" s="24">
        <v>0</v>
      </c>
      <c r="I353" s="24">
        <v>0</v>
      </c>
      <c r="J353" s="24">
        <f t="shared" si="34"/>
        <v>21.66</v>
      </c>
      <c r="K353" s="24" t="s">
        <v>475</v>
      </c>
      <c r="L353" s="25">
        <f t="shared" si="33"/>
        <v>21.66</v>
      </c>
    </row>
    <row r="354" spans="1:12">
      <c r="A354" s="26">
        <f t="shared" si="31"/>
        <v>30</v>
      </c>
      <c r="B354" s="57">
        <v>200942929</v>
      </c>
      <c r="C354" s="60" t="s">
        <v>411</v>
      </c>
      <c r="D354" s="24">
        <v>2.4</v>
      </c>
      <c r="E354" s="24">
        <v>3.92</v>
      </c>
      <c r="F354" s="24">
        <v>0</v>
      </c>
      <c r="G354" s="24">
        <v>0</v>
      </c>
      <c r="H354" s="24">
        <v>0</v>
      </c>
      <c r="I354" s="24">
        <v>0</v>
      </c>
      <c r="J354" s="24">
        <f t="shared" si="34"/>
        <v>6.32</v>
      </c>
      <c r="K354" s="24" t="s">
        <v>475</v>
      </c>
      <c r="L354" s="25">
        <f t="shared" si="33"/>
        <v>6.32</v>
      </c>
    </row>
    <row r="355" spans="1:12">
      <c r="A355" s="26">
        <f t="shared" si="31"/>
        <v>31</v>
      </c>
      <c r="B355" s="45">
        <v>200943135</v>
      </c>
      <c r="C355" s="56" t="s">
        <v>412</v>
      </c>
      <c r="D355" s="24">
        <v>6.3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f t="shared" si="34"/>
        <v>6.3</v>
      </c>
      <c r="K355" s="24" t="s">
        <v>475</v>
      </c>
      <c r="L355" s="25">
        <f t="shared" si="33"/>
        <v>6.3</v>
      </c>
    </row>
    <row r="356" spans="1:12">
      <c r="A356" s="26">
        <f t="shared" si="31"/>
        <v>32</v>
      </c>
      <c r="B356" s="45">
        <v>200943323</v>
      </c>
      <c r="C356" s="59" t="s">
        <v>413</v>
      </c>
      <c r="D356" s="24">
        <v>1.5</v>
      </c>
      <c r="E356" s="24">
        <v>7.06</v>
      </c>
      <c r="F356" s="24">
        <v>0</v>
      </c>
      <c r="G356" s="24">
        <v>5.28</v>
      </c>
      <c r="H356" s="24">
        <v>0</v>
      </c>
      <c r="I356" s="24">
        <v>0</v>
      </c>
      <c r="J356" s="24">
        <f t="shared" si="34"/>
        <v>13.84</v>
      </c>
      <c r="K356" s="24" t="s">
        <v>475</v>
      </c>
      <c r="L356" s="25">
        <f t="shared" si="33"/>
        <v>13.84</v>
      </c>
    </row>
    <row r="357" spans="1:12">
      <c r="A357" s="26">
        <f t="shared" si="31"/>
        <v>33</v>
      </c>
      <c r="B357" s="45">
        <v>200943325</v>
      </c>
      <c r="C357" s="56" t="s">
        <v>414</v>
      </c>
      <c r="D357" s="24">
        <v>2.4</v>
      </c>
      <c r="E357" s="24">
        <v>5.81</v>
      </c>
      <c r="F357" s="24">
        <v>8.84</v>
      </c>
      <c r="G357" s="24">
        <v>2.31</v>
      </c>
      <c r="H357" s="24">
        <v>0</v>
      </c>
      <c r="I357" s="24">
        <v>0</v>
      </c>
      <c r="J357" s="24">
        <f t="shared" si="34"/>
        <v>19.36</v>
      </c>
      <c r="K357" s="24" t="s">
        <v>475</v>
      </c>
      <c r="L357" s="25">
        <f t="shared" si="33"/>
        <v>19.36</v>
      </c>
    </row>
    <row r="358" spans="1:12">
      <c r="A358" s="26">
        <f t="shared" si="31"/>
        <v>34</v>
      </c>
      <c r="B358" s="45">
        <v>200943358</v>
      </c>
      <c r="C358" s="56" t="s">
        <v>415</v>
      </c>
      <c r="D358" s="24">
        <v>0.6</v>
      </c>
      <c r="E358" s="24">
        <v>6.6</v>
      </c>
      <c r="F358" s="24">
        <v>5.0999999999999996</v>
      </c>
      <c r="G358" s="24">
        <v>0</v>
      </c>
      <c r="H358" s="24">
        <v>0</v>
      </c>
      <c r="I358" s="24">
        <v>0</v>
      </c>
      <c r="J358" s="24">
        <f t="shared" si="34"/>
        <v>12.299999999999999</v>
      </c>
      <c r="K358" s="24" t="s">
        <v>475</v>
      </c>
      <c r="L358" s="25">
        <f t="shared" si="33"/>
        <v>12.299999999999999</v>
      </c>
    </row>
    <row r="359" spans="1:12">
      <c r="A359" s="26">
        <f t="shared" si="31"/>
        <v>35</v>
      </c>
      <c r="B359" s="45">
        <v>200943362</v>
      </c>
      <c r="C359" s="56" t="s">
        <v>416</v>
      </c>
      <c r="D359" s="24">
        <v>6.6</v>
      </c>
      <c r="E359" s="24">
        <v>4.38</v>
      </c>
      <c r="F359" s="24">
        <v>6.12</v>
      </c>
      <c r="G359" s="24">
        <v>5.96</v>
      </c>
      <c r="H359" s="24">
        <v>7</v>
      </c>
      <c r="I359" s="24">
        <v>5</v>
      </c>
      <c r="J359" s="24">
        <f t="shared" si="34"/>
        <v>35.06</v>
      </c>
      <c r="K359" s="24" t="s">
        <v>475</v>
      </c>
      <c r="L359" s="25">
        <f t="shared" si="33"/>
        <v>35.06</v>
      </c>
    </row>
    <row r="360" spans="1:12">
      <c r="A360" s="26">
        <f t="shared" si="31"/>
        <v>36</v>
      </c>
      <c r="B360" s="45">
        <v>200943370</v>
      </c>
      <c r="C360" s="60" t="s">
        <v>417</v>
      </c>
      <c r="D360" s="24">
        <v>2.7</v>
      </c>
      <c r="E360" s="24">
        <v>9.4499999999999993</v>
      </c>
      <c r="F360" s="24">
        <v>7.82</v>
      </c>
      <c r="G360" s="24">
        <v>3.63</v>
      </c>
      <c r="H360" s="24">
        <v>10.25</v>
      </c>
      <c r="I360" s="24">
        <v>5</v>
      </c>
      <c r="J360" s="24">
        <f t="shared" si="34"/>
        <v>38.85</v>
      </c>
      <c r="K360" s="24" t="s">
        <v>475</v>
      </c>
      <c r="L360" s="25">
        <f t="shared" si="33"/>
        <v>38.85</v>
      </c>
    </row>
    <row r="361" spans="1:12">
      <c r="A361" s="26">
        <f t="shared" si="31"/>
        <v>37</v>
      </c>
      <c r="B361" s="45">
        <v>200943372</v>
      </c>
      <c r="C361" s="60" t="s">
        <v>418</v>
      </c>
      <c r="D361" s="24">
        <v>2.1</v>
      </c>
      <c r="E361" s="24">
        <v>2</v>
      </c>
      <c r="F361" s="24">
        <v>4.42</v>
      </c>
      <c r="G361" s="24">
        <v>3.96</v>
      </c>
      <c r="H361" s="24">
        <v>10.25</v>
      </c>
      <c r="I361" s="24">
        <v>5</v>
      </c>
      <c r="J361" s="24">
        <f t="shared" si="34"/>
        <v>27.730000000000004</v>
      </c>
      <c r="K361" s="24" t="s">
        <v>475</v>
      </c>
      <c r="L361" s="25">
        <f t="shared" si="33"/>
        <v>27.730000000000004</v>
      </c>
    </row>
    <row r="362" spans="1:12">
      <c r="A362" s="26">
        <f t="shared" si="31"/>
        <v>38</v>
      </c>
      <c r="B362" s="45">
        <v>200943511</v>
      </c>
      <c r="C362" s="56" t="s">
        <v>419</v>
      </c>
      <c r="D362" s="24">
        <v>6</v>
      </c>
      <c r="E362" s="24">
        <v>7.91</v>
      </c>
      <c r="F362" s="24">
        <v>8.5</v>
      </c>
      <c r="G362" s="24">
        <v>10.92</v>
      </c>
      <c r="H362" s="24">
        <v>14.25</v>
      </c>
      <c r="I362" s="24">
        <v>5</v>
      </c>
      <c r="J362" s="24">
        <f t="shared" si="34"/>
        <v>52.58</v>
      </c>
      <c r="K362" s="24">
        <v>10.199999999999999</v>
      </c>
      <c r="L362" s="25">
        <f t="shared" si="32"/>
        <v>62.78</v>
      </c>
    </row>
    <row r="363" spans="1:12">
      <c r="A363" s="26">
        <f t="shared" si="31"/>
        <v>39</v>
      </c>
      <c r="B363" s="45">
        <v>200943638</v>
      </c>
      <c r="C363" s="60" t="s">
        <v>420</v>
      </c>
      <c r="D363" s="24">
        <v>4.2</v>
      </c>
      <c r="E363" s="24">
        <v>5.35</v>
      </c>
      <c r="F363" s="24">
        <v>7.82</v>
      </c>
      <c r="G363" s="24">
        <v>4.97</v>
      </c>
      <c r="H363" s="24">
        <v>5.75</v>
      </c>
      <c r="I363" s="24">
        <v>5</v>
      </c>
      <c r="J363" s="24">
        <f t="shared" si="34"/>
        <v>33.090000000000003</v>
      </c>
      <c r="K363" s="24" t="s">
        <v>475</v>
      </c>
      <c r="L363" s="25">
        <f>+J363</f>
        <v>33.090000000000003</v>
      </c>
    </row>
    <row r="364" spans="1:12">
      <c r="A364" s="26">
        <f t="shared" si="31"/>
        <v>40</v>
      </c>
      <c r="B364" s="45">
        <v>200943718</v>
      </c>
      <c r="C364" s="60" t="s">
        <v>421</v>
      </c>
      <c r="D364" s="24">
        <v>6</v>
      </c>
      <c r="E364" s="24">
        <v>8.77</v>
      </c>
      <c r="F364" s="24">
        <v>9.86</v>
      </c>
      <c r="G364" s="24">
        <v>6.62</v>
      </c>
      <c r="H364" s="24">
        <v>11.25</v>
      </c>
      <c r="I364" s="24">
        <v>5</v>
      </c>
      <c r="J364" s="24">
        <f t="shared" si="34"/>
        <v>47.5</v>
      </c>
      <c r="K364" s="24">
        <v>5.0999999999999996</v>
      </c>
      <c r="L364" s="25">
        <f t="shared" si="32"/>
        <v>52.6</v>
      </c>
    </row>
    <row r="365" spans="1:12">
      <c r="A365" s="26">
        <f t="shared" si="31"/>
        <v>41</v>
      </c>
      <c r="B365" s="45">
        <v>200944070</v>
      </c>
      <c r="C365" s="60" t="s">
        <v>422</v>
      </c>
      <c r="D365" s="24">
        <v>7.5</v>
      </c>
      <c r="E365" s="24">
        <v>0</v>
      </c>
      <c r="F365" s="24">
        <v>0</v>
      </c>
      <c r="G365" s="24">
        <v>0</v>
      </c>
      <c r="H365" s="24">
        <v>0</v>
      </c>
      <c r="I365" s="24">
        <v>0</v>
      </c>
      <c r="J365" s="24">
        <f t="shared" si="34"/>
        <v>7.5</v>
      </c>
      <c r="K365" s="24" t="s">
        <v>475</v>
      </c>
      <c r="L365" s="25">
        <f>+J365</f>
        <v>7.5</v>
      </c>
    </row>
    <row r="366" spans="1:12">
      <c r="A366" s="26">
        <f t="shared" si="31"/>
        <v>42</v>
      </c>
      <c r="B366" s="45">
        <v>200946028</v>
      </c>
      <c r="C366" s="60" t="s">
        <v>423</v>
      </c>
      <c r="D366" s="24">
        <v>0</v>
      </c>
      <c r="E366" s="24">
        <v>2.39</v>
      </c>
      <c r="F366" s="24">
        <v>5.44</v>
      </c>
      <c r="G366" s="24">
        <v>2.65</v>
      </c>
      <c r="H366" s="24">
        <v>0</v>
      </c>
      <c r="I366" s="24">
        <v>0</v>
      </c>
      <c r="J366" s="24">
        <f t="shared" si="34"/>
        <v>10.48</v>
      </c>
      <c r="K366" s="24" t="s">
        <v>475</v>
      </c>
      <c r="L366" s="25">
        <f t="shared" ref="L366:L367" si="35">+J366</f>
        <v>10.48</v>
      </c>
    </row>
    <row r="367" spans="1:12">
      <c r="A367" s="26">
        <f t="shared" si="31"/>
        <v>43</v>
      </c>
      <c r="B367" s="45">
        <v>200980056</v>
      </c>
      <c r="C367" s="60" t="s">
        <v>424</v>
      </c>
      <c r="D367" s="24">
        <v>1.8</v>
      </c>
      <c r="E367" s="24">
        <v>3.53</v>
      </c>
      <c r="F367" s="24">
        <v>7.48</v>
      </c>
      <c r="G367" s="24">
        <v>0</v>
      </c>
      <c r="H367" s="24">
        <v>0</v>
      </c>
      <c r="I367" s="24">
        <v>0</v>
      </c>
      <c r="J367" s="24">
        <f t="shared" si="34"/>
        <v>12.81</v>
      </c>
      <c r="K367" s="24" t="s">
        <v>475</v>
      </c>
      <c r="L367" s="25">
        <f t="shared" si="35"/>
        <v>12.81</v>
      </c>
    </row>
    <row r="368" spans="1:12">
      <c r="A368" s="26">
        <f t="shared" si="31"/>
        <v>44</v>
      </c>
      <c r="B368" s="45">
        <v>200946343</v>
      </c>
      <c r="C368" s="60" t="s">
        <v>425</v>
      </c>
      <c r="D368" s="24">
        <v>2.4</v>
      </c>
      <c r="E368" s="24">
        <v>12.87</v>
      </c>
      <c r="F368" s="24">
        <v>9.18</v>
      </c>
      <c r="G368" s="24">
        <v>5.62</v>
      </c>
      <c r="H368" s="24">
        <v>10</v>
      </c>
      <c r="I368" s="24">
        <v>5</v>
      </c>
      <c r="J368" s="24">
        <f t="shared" si="34"/>
        <v>45.07</v>
      </c>
      <c r="K368" s="24">
        <v>8.6999999999999993</v>
      </c>
      <c r="L368" s="25">
        <f t="shared" si="32"/>
        <v>53.769999999999996</v>
      </c>
    </row>
    <row r="369" spans="1:12">
      <c r="A369" s="29"/>
      <c r="B369" s="29"/>
      <c r="C369" s="30"/>
      <c r="D369" s="31"/>
      <c r="E369" s="31"/>
      <c r="F369" s="31"/>
      <c r="G369" s="31"/>
      <c r="H369" s="31"/>
      <c r="I369" s="31"/>
      <c r="J369" s="31"/>
      <c r="K369" s="31"/>
      <c r="L369" s="32"/>
    </row>
    <row r="370" spans="1:12">
      <c r="A370" s="29"/>
      <c r="B370" s="29"/>
      <c r="C370" s="30"/>
      <c r="D370" s="31"/>
      <c r="E370" s="31"/>
      <c r="F370" s="31"/>
      <c r="G370" s="31"/>
      <c r="H370" s="31"/>
      <c r="I370" s="31"/>
      <c r="J370" s="31"/>
      <c r="K370" s="31"/>
      <c r="L370" s="32"/>
    </row>
    <row r="371" spans="1:12" ht="17.25" thickBot="1">
      <c r="A371" s="33"/>
      <c r="B371" s="33"/>
      <c r="C371" s="34"/>
      <c r="D371" s="31"/>
      <c r="E371" s="31"/>
      <c r="F371" s="31"/>
      <c r="G371" s="31"/>
      <c r="H371" s="35"/>
      <c r="I371" s="35"/>
      <c r="J371" s="35"/>
      <c r="K371" s="9"/>
      <c r="L371" s="32"/>
    </row>
    <row r="372" spans="1:12">
      <c r="H372" s="100" t="s">
        <v>473</v>
      </c>
      <c r="I372" s="100"/>
      <c r="J372" s="100"/>
      <c r="L372" s="1"/>
    </row>
    <row r="373" spans="1:12">
      <c r="D373" s="36"/>
      <c r="H373" s="100" t="s">
        <v>21</v>
      </c>
      <c r="I373" s="100"/>
      <c r="J373" s="100"/>
      <c r="L373" s="1"/>
    </row>
    <row r="374" spans="1:12">
      <c r="D374" s="36"/>
      <c r="H374" s="100" t="s">
        <v>471</v>
      </c>
      <c r="I374" s="100"/>
      <c r="J374" s="100"/>
      <c r="L374" s="1"/>
    </row>
    <row r="391" spans="1:10" ht="17.25" thickBot="1">
      <c r="A391" s="1" t="s">
        <v>0</v>
      </c>
      <c r="I391" s="3"/>
    </row>
    <row r="392" spans="1:10">
      <c r="A392" s="1" t="s">
        <v>1</v>
      </c>
      <c r="F392" s="4"/>
      <c r="G392" s="5"/>
      <c r="H392" s="6"/>
      <c r="I392" s="7"/>
    </row>
    <row r="393" spans="1:10">
      <c r="A393" s="8" t="s">
        <v>2</v>
      </c>
      <c r="B393" s="9"/>
      <c r="E393" s="7"/>
      <c r="F393" s="10"/>
      <c r="G393" s="11"/>
      <c r="H393" s="12"/>
      <c r="I393" s="7"/>
    </row>
    <row r="394" spans="1:10" ht="17.25" thickBot="1">
      <c r="A394" s="13" t="s">
        <v>3</v>
      </c>
      <c r="B394" s="9"/>
      <c r="E394" s="7"/>
      <c r="F394" s="10"/>
      <c r="G394" s="11"/>
      <c r="H394" s="12"/>
      <c r="I394" s="7"/>
    </row>
    <row r="395" spans="1:10" ht="17.25" thickBot="1">
      <c r="A395" s="14" t="s">
        <v>22</v>
      </c>
      <c r="B395" s="15"/>
      <c r="C395" s="16"/>
      <c r="E395" s="7"/>
      <c r="F395" s="17"/>
      <c r="G395" s="18"/>
      <c r="H395" s="19"/>
      <c r="I395" s="7"/>
    </row>
    <row r="396" spans="1:10">
      <c r="A396" s="8"/>
      <c r="B396" s="9"/>
      <c r="E396" s="7"/>
      <c r="I396" s="3"/>
    </row>
    <row r="397" spans="1:10">
      <c r="A397" s="1" t="s">
        <v>91</v>
      </c>
      <c r="B397" s="9"/>
      <c r="C397" s="20" t="s">
        <v>300</v>
      </c>
      <c r="E397" s="7"/>
      <c r="I397" s="3"/>
    </row>
    <row r="398" spans="1:10">
      <c r="A398" s="1" t="s">
        <v>4</v>
      </c>
      <c r="C398" s="20" t="s">
        <v>468</v>
      </c>
      <c r="I398" s="3"/>
    </row>
    <row r="399" spans="1:10">
      <c r="A399" s="1" t="s">
        <v>5</v>
      </c>
      <c r="C399" s="20" t="s">
        <v>472</v>
      </c>
    </row>
    <row r="400" spans="1:10">
      <c r="A400" s="21"/>
      <c r="B400" s="21"/>
      <c r="C400" s="21"/>
      <c r="D400" s="21"/>
      <c r="E400" s="21"/>
      <c r="F400" s="21"/>
      <c r="G400" s="21"/>
      <c r="H400" s="21"/>
      <c r="I400" s="21"/>
      <c r="J400" s="21"/>
    </row>
    <row r="401" spans="1:12">
      <c r="A401" s="1"/>
      <c r="C401" s="22" t="s">
        <v>6</v>
      </c>
      <c r="D401" s="22" t="s">
        <v>93</v>
      </c>
      <c r="E401" s="22" t="s">
        <v>93</v>
      </c>
      <c r="F401" s="22" t="s">
        <v>93</v>
      </c>
      <c r="G401" s="22" t="s">
        <v>93</v>
      </c>
      <c r="H401" s="22" t="s">
        <v>93</v>
      </c>
      <c r="I401" s="22" t="s">
        <v>94</v>
      </c>
      <c r="J401" s="22" t="s">
        <v>8</v>
      </c>
      <c r="K401" s="22" t="s">
        <v>7</v>
      </c>
      <c r="L401" s="22" t="s">
        <v>9</v>
      </c>
    </row>
    <row r="402" spans="1:12">
      <c r="A402" s="22" t="s">
        <v>10</v>
      </c>
      <c r="B402" s="22" t="s">
        <v>11</v>
      </c>
      <c r="C402" s="22" t="s">
        <v>12</v>
      </c>
      <c r="D402" s="22" t="s">
        <v>13</v>
      </c>
      <c r="E402" s="22" t="s">
        <v>14</v>
      </c>
      <c r="F402" s="22" t="s">
        <v>15</v>
      </c>
      <c r="G402" s="22" t="s">
        <v>16</v>
      </c>
      <c r="H402" s="22" t="s">
        <v>17</v>
      </c>
      <c r="I402" s="22" t="s">
        <v>95</v>
      </c>
      <c r="J402" s="22" t="s">
        <v>18</v>
      </c>
      <c r="K402" s="22" t="s">
        <v>19</v>
      </c>
      <c r="L402" s="22" t="s">
        <v>20</v>
      </c>
    </row>
    <row r="403" spans="1:12">
      <c r="A403" s="23">
        <v>1</v>
      </c>
      <c r="B403" s="45">
        <v>200821585</v>
      </c>
      <c r="C403" s="59" t="s">
        <v>308</v>
      </c>
      <c r="D403" s="24">
        <v>0.375</v>
      </c>
      <c r="E403" s="24">
        <v>1.1399999999999999</v>
      </c>
      <c r="F403" s="24">
        <v>2.38</v>
      </c>
      <c r="G403" s="24">
        <v>0.66</v>
      </c>
      <c r="H403" s="24">
        <v>0.5</v>
      </c>
      <c r="I403" s="24">
        <v>5</v>
      </c>
      <c r="J403" s="24">
        <f>+I403+H403+G403+F403+D403</f>
        <v>8.9149999999999991</v>
      </c>
      <c r="K403" s="24" t="s">
        <v>475</v>
      </c>
      <c r="L403" s="25">
        <f>+J403</f>
        <v>8.9149999999999991</v>
      </c>
    </row>
    <row r="404" spans="1:12">
      <c r="A404" s="26">
        <f>1+A403</f>
        <v>2</v>
      </c>
      <c r="B404" s="45">
        <v>200841793</v>
      </c>
      <c r="C404" s="56" t="s">
        <v>313</v>
      </c>
      <c r="D404" s="24">
        <v>3</v>
      </c>
      <c r="E404" s="24">
        <v>5.0599999999999996</v>
      </c>
      <c r="F404" s="24">
        <v>0</v>
      </c>
      <c r="G404" s="24">
        <v>0</v>
      </c>
      <c r="H404" s="24">
        <v>0</v>
      </c>
      <c r="I404" s="24">
        <v>0</v>
      </c>
      <c r="J404" s="24">
        <f t="shared" ref="J404:J422" si="36">+I404+H404+G404+F404+E404+D404</f>
        <v>8.0599999999999987</v>
      </c>
      <c r="K404" s="24" t="s">
        <v>475</v>
      </c>
      <c r="L404" s="25">
        <f t="shared" ref="L404:L406" si="37">+J404</f>
        <v>8.0599999999999987</v>
      </c>
    </row>
    <row r="405" spans="1:12">
      <c r="A405" s="26">
        <f t="shared" ref="A405:A449" si="38">1+A404</f>
        <v>3</v>
      </c>
      <c r="B405" s="45">
        <v>200842047</v>
      </c>
      <c r="C405" s="56" t="s">
        <v>315</v>
      </c>
      <c r="D405" s="24">
        <v>2.25</v>
      </c>
      <c r="E405" s="24">
        <v>6.5</v>
      </c>
      <c r="F405" s="24">
        <v>6.8</v>
      </c>
      <c r="G405" s="24">
        <v>2.97</v>
      </c>
      <c r="H405" s="24">
        <v>0</v>
      </c>
      <c r="I405" s="24">
        <v>0</v>
      </c>
      <c r="J405" s="24">
        <f t="shared" si="36"/>
        <v>18.52</v>
      </c>
      <c r="K405" s="24" t="s">
        <v>475</v>
      </c>
      <c r="L405" s="25">
        <f t="shared" si="37"/>
        <v>18.52</v>
      </c>
    </row>
    <row r="406" spans="1:12">
      <c r="A406" s="26">
        <f t="shared" si="38"/>
        <v>4</v>
      </c>
      <c r="B406" s="45">
        <v>200842050</v>
      </c>
      <c r="C406" s="56" t="s">
        <v>316</v>
      </c>
      <c r="D406" s="24">
        <v>3</v>
      </c>
      <c r="E406" s="24">
        <v>8.31</v>
      </c>
      <c r="F406" s="24">
        <v>8.5</v>
      </c>
      <c r="G406" s="24">
        <v>0</v>
      </c>
      <c r="H406" s="24">
        <v>0</v>
      </c>
      <c r="I406" s="24">
        <v>0</v>
      </c>
      <c r="J406" s="24">
        <f t="shared" si="36"/>
        <v>19.810000000000002</v>
      </c>
      <c r="K406" s="24" t="s">
        <v>475</v>
      </c>
      <c r="L406" s="25">
        <f t="shared" si="37"/>
        <v>19.810000000000002</v>
      </c>
    </row>
    <row r="407" spans="1:12">
      <c r="A407" s="26">
        <f t="shared" si="38"/>
        <v>5</v>
      </c>
      <c r="B407" s="45">
        <v>200842062</v>
      </c>
      <c r="C407" s="56" t="s">
        <v>318</v>
      </c>
      <c r="D407" s="24">
        <v>6.75</v>
      </c>
      <c r="E407" s="24">
        <v>12.3</v>
      </c>
      <c r="F407" s="24">
        <v>5.78</v>
      </c>
      <c r="G407" s="24">
        <v>7.66</v>
      </c>
      <c r="H407" s="24">
        <v>14.75</v>
      </c>
      <c r="I407" s="24">
        <v>5</v>
      </c>
      <c r="J407" s="24">
        <f t="shared" si="36"/>
        <v>52.239999999999995</v>
      </c>
      <c r="K407" s="24">
        <v>13.5</v>
      </c>
      <c r="L407" s="25">
        <f t="shared" ref="L407:L443" si="39">+K407+J407</f>
        <v>65.739999999999995</v>
      </c>
    </row>
    <row r="408" spans="1:12">
      <c r="A408" s="26">
        <f t="shared" si="38"/>
        <v>6</v>
      </c>
      <c r="B408" s="45">
        <v>200842078</v>
      </c>
      <c r="C408" s="56" t="s">
        <v>320</v>
      </c>
      <c r="D408" s="24">
        <v>8.6300000000000008</v>
      </c>
      <c r="E408" s="24">
        <v>6.31</v>
      </c>
      <c r="F408" s="24">
        <v>9.18</v>
      </c>
      <c r="G408" s="24">
        <v>7.61</v>
      </c>
      <c r="H408" s="24">
        <v>9</v>
      </c>
      <c r="I408" s="24">
        <v>5</v>
      </c>
      <c r="J408" s="24">
        <f t="shared" si="36"/>
        <v>45.730000000000004</v>
      </c>
      <c r="K408" s="24">
        <v>6.9</v>
      </c>
      <c r="L408" s="25">
        <f t="shared" si="39"/>
        <v>52.63</v>
      </c>
    </row>
    <row r="409" spans="1:12">
      <c r="A409" s="26">
        <f t="shared" si="38"/>
        <v>7</v>
      </c>
      <c r="B409" s="45">
        <v>200842088</v>
      </c>
      <c r="C409" s="59" t="s">
        <v>321</v>
      </c>
      <c r="D409" s="24">
        <v>2.25</v>
      </c>
      <c r="E409" s="24">
        <v>5.0599999999999996</v>
      </c>
      <c r="F409" s="24">
        <v>5.0999999999999996</v>
      </c>
      <c r="G409" s="24">
        <v>4.96</v>
      </c>
      <c r="H409" s="24">
        <v>5.5</v>
      </c>
      <c r="I409" s="24">
        <v>5</v>
      </c>
      <c r="J409" s="24">
        <f t="shared" si="36"/>
        <v>27.87</v>
      </c>
      <c r="K409" s="24" t="s">
        <v>475</v>
      </c>
      <c r="L409" s="25">
        <f>+J409</f>
        <v>27.87</v>
      </c>
    </row>
    <row r="410" spans="1:12">
      <c r="A410" s="26">
        <f t="shared" si="38"/>
        <v>8</v>
      </c>
      <c r="B410" s="45">
        <v>200842091</v>
      </c>
      <c r="C410" s="60" t="s">
        <v>322</v>
      </c>
      <c r="D410" s="24">
        <v>7.13</v>
      </c>
      <c r="E410" s="24">
        <v>5.52</v>
      </c>
      <c r="F410" s="24">
        <v>5.78</v>
      </c>
      <c r="G410" s="24">
        <v>2.98</v>
      </c>
      <c r="H410" s="24">
        <v>0</v>
      </c>
      <c r="I410" s="24">
        <v>0</v>
      </c>
      <c r="J410" s="24">
        <f t="shared" si="36"/>
        <v>21.41</v>
      </c>
      <c r="K410" s="24" t="s">
        <v>475</v>
      </c>
      <c r="L410" s="25">
        <f t="shared" ref="L410:L413" si="40">+J410</f>
        <v>21.41</v>
      </c>
    </row>
    <row r="411" spans="1:12">
      <c r="A411" s="26">
        <f t="shared" si="38"/>
        <v>9</v>
      </c>
      <c r="B411" s="45">
        <v>200842106</v>
      </c>
      <c r="C411" s="56" t="s">
        <v>323</v>
      </c>
      <c r="D411" s="24">
        <v>1.1299999999999999</v>
      </c>
      <c r="E411" s="24">
        <v>0.85</v>
      </c>
      <c r="F411" s="24">
        <v>3.06</v>
      </c>
      <c r="G411" s="24">
        <v>0</v>
      </c>
      <c r="H411" s="24">
        <v>0.25</v>
      </c>
      <c r="I411" s="24">
        <v>5</v>
      </c>
      <c r="J411" s="24">
        <f t="shared" si="36"/>
        <v>10.29</v>
      </c>
      <c r="K411" s="24" t="s">
        <v>475</v>
      </c>
      <c r="L411" s="25">
        <f t="shared" si="40"/>
        <v>10.29</v>
      </c>
    </row>
    <row r="412" spans="1:12">
      <c r="A412" s="26">
        <f t="shared" si="38"/>
        <v>10</v>
      </c>
      <c r="B412" s="45">
        <v>200842108</v>
      </c>
      <c r="C412" s="56" t="s">
        <v>324</v>
      </c>
      <c r="D412" s="24">
        <v>4.125</v>
      </c>
      <c r="E412" s="24">
        <v>6.31</v>
      </c>
      <c r="F412" s="24">
        <v>7.14</v>
      </c>
      <c r="G412" s="24">
        <v>4.62</v>
      </c>
      <c r="H412" s="24">
        <v>0</v>
      </c>
      <c r="I412" s="24">
        <v>0</v>
      </c>
      <c r="J412" s="24">
        <f t="shared" si="36"/>
        <v>22.195</v>
      </c>
      <c r="K412" s="24" t="s">
        <v>475</v>
      </c>
      <c r="L412" s="25">
        <f t="shared" si="40"/>
        <v>22.195</v>
      </c>
    </row>
    <row r="413" spans="1:12">
      <c r="A413" s="26">
        <f t="shared" si="38"/>
        <v>11</v>
      </c>
      <c r="B413" s="45">
        <v>200842128</v>
      </c>
      <c r="C413" s="58" t="s">
        <v>325</v>
      </c>
      <c r="D413" s="24">
        <v>3</v>
      </c>
      <c r="E413" s="24">
        <v>3.13</v>
      </c>
      <c r="F413" s="24">
        <v>4.42</v>
      </c>
      <c r="G413" s="24">
        <v>1.99</v>
      </c>
      <c r="H413" s="24">
        <v>0</v>
      </c>
      <c r="I413" s="24">
        <v>0</v>
      </c>
      <c r="J413" s="24">
        <f t="shared" si="36"/>
        <v>12.54</v>
      </c>
      <c r="K413" s="24" t="s">
        <v>475</v>
      </c>
      <c r="L413" s="25">
        <f t="shared" si="40"/>
        <v>12.54</v>
      </c>
    </row>
    <row r="414" spans="1:12">
      <c r="A414" s="26">
        <f t="shared" si="38"/>
        <v>12</v>
      </c>
      <c r="B414" s="45">
        <v>200842131</v>
      </c>
      <c r="C414" s="56" t="s">
        <v>326</v>
      </c>
      <c r="D414" s="24">
        <v>9</v>
      </c>
      <c r="E414" s="24">
        <v>9.4499999999999993</v>
      </c>
      <c r="F414" s="24">
        <v>10.88</v>
      </c>
      <c r="G414" s="24">
        <v>4.95</v>
      </c>
      <c r="H414" s="24">
        <v>8.25</v>
      </c>
      <c r="I414" s="24">
        <v>5</v>
      </c>
      <c r="J414" s="24">
        <f t="shared" si="36"/>
        <v>47.53</v>
      </c>
      <c r="K414" s="24">
        <v>10.5</v>
      </c>
      <c r="L414" s="25">
        <f t="shared" si="39"/>
        <v>58.03</v>
      </c>
    </row>
    <row r="415" spans="1:12">
      <c r="A415" s="26">
        <f t="shared" si="38"/>
        <v>13</v>
      </c>
      <c r="B415" s="45">
        <v>200843352</v>
      </c>
      <c r="C415" s="60" t="s">
        <v>330</v>
      </c>
      <c r="D415" s="24">
        <v>1.5</v>
      </c>
      <c r="E415" s="24">
        <v>5.24</v>
      </c>
      <c r="F415" s="24">
        <v>6.12</v>
      </c>
      <c r="G415" s="24">
        <v>2.65</v>
      </c>
      <c r="H415" s="24">
        <v>0</v>
      </c>
      <c r="I415" s="24">
        <v>0</v>
      </c>
      <c r="J415" s="24">
        <f t="shared" si="36"/>
        <v>15.51</v>
      </c>
      <c r="K415" s="24" t="s">
        <v>475</v>
      </c>
      <c r="L415" s="25">
        <f>+J415</f>
        <v>15.51</v>
      </c>
    </row>
    <row r="416" spans="1:12">
      <c r="A416" s="26">
        <f t="shared" si="38"/>
        <v>14</v>
      </c>
      <c r="B416" s="45">
        <v>200843401</v>
      </c>
      <c r="C416" s="56" t="s">
        <v>331</v>
      </c>
      <c r="D416" s="24">
        <v>0.38</v>
      </c>
      <c r="E416" s="24">
        <v>5.57</v>
      </c>
      <c r="F416" s="24">
        <v>4.76</v>
      </c>
      <c r="G416" s="24">
        <v>0.33</v>
      </c>
      <c r="H416" s="24">
        <v>5.75</v>
      </c>
      <c r="I416" s="24">
        <v>5</v>
      </c>
      <c r="J416" s="24">
        <f t="shared" si="36"/>
        <v>21.79</v>
      </c>
      <c r="K416" s="24" t="s">
        <v>475</v>
      </c>
      <c r="L416" s="25">
        <f>+J416</f>
        <v>21.79</v>
      </c>
    </row>
    <row r="417" spans="1:12">
      <c r="A417" s="26">
        <f t="shared" si="38"/>
        <v>15</v>
      </c>
      <c r="B417" s="45">
        <v>200843480</v>
      </c>
      <c r="C417" s="56" t="s">
        <v>332</v>
      </c>
      <c r="D417" s="24">
        <v>5.25</v>
      </c>
      <c r="E417" s="24">
        <v>10.41</v>
      </c>
      <c r="F417" s="24">
        <v>9.18</v>
      </c>
      <c r="G417" s="24">
        <v>5.63</v>
      </c>
      <c r="H417" s="24">
        <v>10</v>
      </c>
      <c r="I417" s="24">
        <v>5</v>
      </c>
      <c r="J417" s="24">
        <f t="shared" si="36"/>
        <v>45.47</v>
      </c>
      <c r="K417" s="24">
        <v>4.8</v>
      </c>
      <c r="L417" s="25">
        <f t="shared" si="39"/>
        <v>50.269999999999996</v>
      </c>
    </row>
    <row r="418" spans="1:12">
      <c r="A418" s="26">
        <f t="shared" si="38"/>
        <v>16</v>
      </c>
      <c r="B418" s="45">
        <v>200844524</v>
      </c>
      <c r="C418" s="56" t="s">
        <v>333</v>
      </c>
      <c r="D418" s="24">
        <v>6.88</v>
      </c>
      <c r="E418" s="24">
        <v>6.88</v>
      </c>
      <c r="F418" s="24">
        <v>7.48</v>
      </c>
      <c r="G418" s="24">
        <v>6.94</v>
      </c>
      <c r="H418" s="24">
        <v>7.82</v>
      </c>
      <c r="I418" s="24">
        <v>5</v>
      </c>
      <c r="J418" s="24">
        <f t="shared" si="36"/>
        <v>41.000000000000007</v>
      </c>
      <c r="K418" s="24">
        <v>8.4</v>
      </c>
      <c r="L418" s="25">
        <f>+K418+J418</f>
        <v>49.400000000000006</v>
      </c>
    </row>
    <row r="419" spans="1:12">
      <c r="A419" s="26">
        <f t="shared" si="38"/>
        <v>17</v>
      </c>
      <c r="B419" s="45">
        <v>200940329</v>
      </c>
      <c r="C419" s="56" t="s">
        <v>334</v>
      </c>
      <c r="D419" s="24">
        <v>5.63</v>
      </c>
      <c r="E419" s="24">
        <v>11.16</v>
      </c>
      <c r="F419" s="24">
        <v>9.86</v>
      </c>
      <c r="G419" s="24">
        <v>3.3</v>
      </c>
      <c r="H419" s="28">
        <v>9.5</v>
      </c>
      <c r="I419" s="28">
        <v>5</v>
      </c>
      <c r="J419" s="24">
        <f t="shared" si="36"/>
        <v>44.45</v>
      </c>
      <c r="K419" s="24">
        <v>12.3</v>
      </c>
      <c r="L419" s="25">
        <f t="shared" si="39"/>
        <v>56.75</v>
      </c>
    </row>
    <row r="420" spans="1:12">
      <c r="A420" s="26">
        <f t="shared" si="38"/>
        <v>18</v>
      </c>
      <c r="B420" s="45">
        <v>200940434</v>
      </c>
      <c r="C420" s="60" t="s">
        <v>335</v>
      </c>
      <c r="D420" s="24">
        <v>9.75</v>
      </c>
      <c r="E420" s="24">
        <v>13</v>
      </c>
      <c r="F420" s="24">
        <v>8.84</v>
      </c>
      <c r="G420" s="24">
        <v>6.28</v>
      </c>
      <c r="H420" s="28">
        <v>12.25</v>
      </c>
      <c r="I420" s="28">
        <v>5</v>
      </c>
      <c r="J420" s="24">
        <f t="shared" si="36"/>
        <v>55.120000000000005</v>
      </c>
      <c r="K420" s="24">
        <v>12.9</v>
      </c>
      <c r="L420" s="25">
        <f t="shared" si="39"/>
        <v>68.02000000000001</v>
      </c>
    </row>
    <row r="421" spans="1:12">
      <c r="A421" s="26">
        <f t="shared" si="38"/>
        <v>19</v>
      </c>
      <c r="B421" s="45">
        <v>200940498</v>
      </c>
      <c r="C421" s="56" t="s">
        <v>336</v>
      </c>
      <c r="D421" s="24">
        <v>4.13</v>
      </c>
      <c r="E421" s="24">
        <v>9.34</v>
      </c>
      <c r="F421" s="24">
        <v>10.54</v>
      </c>
      <c r="G421" s="24">
        <v>5.3</v>
      </c>
      <c r="H421" s="28">
        <v>10.5</v>
      </c>
      <c r="I421" s="28">
        <v>5</v>
      </c>
      <c r="J421" s="24">
        <f t="shared" si="36"/>
        <v>44.81</v>
      </c>
      <c r="K421" s="24">
        <v>11.7</v>
      </c>
      <c r="L421" s="25">
        <f t="shared" si="39"/>
        <v>56.510000000000005</v>
      </c>
    </row>
    <row r="422" spans="1:12">
      <c r="A422" s="26">
        <f t="shared" si="38"/>
        <v>20</v>
      </c>
      <c r="B422" s="45">
        <v>200940524</v>
      </c>
      <c r="C422" s="59" t="s">
        <v>337</v>
      </c>
      <c r="D422" s="24">
        <v>7.12</v>
      </c>
      <c r="E422" s="24">
        <v>9.84</v>
      </c>
      <c r="F422" s="24">
        <v>8.84</v>
      </c>
      <c r="G422" s="24">
        <v>8.93</v>
      </c>
      <c r="H422" s="28">
        <v>12.25</v>
      </c>
      <c r="I422" s="28">
        <v>5</v>
      </c>
      <c r="J422" s="24">
        <f t="shared" si="36"/>
        <v>51.98</v>
      </c>
      <c r="K422" s="24">
        <v>15</v>
      </c>
      <c r="L422" s="25">
        <f t="shared" si="39"/>
        <v>66.97999999999999</v>
      </c>
    </row>
    <row r="423" spans="1:12">
      <c r="A423" s="26">
        <f t="shared" si="38"/>
        <v>21</v>
      </c>
      <c r="B423" s="45">
        <v>200940708</v>
      </c>
      <c r="C423" s="56" t="s">
        <v>338</v>
      </c>
      <c r="D423" s="24">
        <v>1.5</v>
      </c>
      <c r="E423" s="24">
        <v>0.56999999999999995</v>
      </c>
      <c r="F423" s="24">
        <v>4.08</v>
      </c>
      <c r="G423" s="24">
        <v>0</v>
      </c>
      <c r="H423" s="24">
        <v>0</v>
      </c>
      <c r="I423" s="24">
        <v>0</v>
      </c>
      <c r="J423" s="24">
        <f>+I423+H423+G423+F423+D423</f>
        <v>5.58</v>
      </c>
      <c r="K423" s="24" t="s">
        <v>475</v>
      </c>
      <c r="L423" s="25">
        <f>+J423</f>
        <v>5.58</v>
      </c>
    </row>
    <row r="424" spans="1:12">
      <c r="A424" s="26">
        <f t="shared" si="38"/>
        <v>22</v>
      </c>
      <c r="B424" s="45">
        <v>200941405</v>
      </c>
      <c r="C424" s="56" t="s">
        <v>339</v>
      </c>
      <c r="D424" s="24">
        <v>5.25</v>
      </c>
      <c r="E424" s="24">
        <v>5.24</v>
      </c>
      <c r="F424" s="24">
        <v>7.82</v>
      </c>
      <c r="G424" s="24">
        <v>5.61</v>
      </c>
      <c r="H424" s="24">
        <v>9.75</v>
      </c>
      <c r="I424" s="24">
        <v>5</v>
      </c>
      <c r="J424" s="24">
        <f t="shared" ref="J424:J449" si="41">+I424+H424+G424+F424+E424+D424</f>
        <v>38.67</v>
      </c>
      <c r="K424" s="24" t="s">
        <v>475</v>
      </c>
      <c r="L424" s="25">
        <f t="shared" ref="L424" si="42">+J424</f>
        <v>38.67</v>
      </c>
    </row>
    <row r="425" spans="1:12">
      <c r="A425" s="26">
        <f t="shared" si="38"/>
        <v>23</v>
      </c>
      <c r="B425" s="57">
        <v>200941695</v>
      </c>
      <c r="C425" s="60" t="s">
        <v>340</v>
      </c>
      <c r="D425" s="24">
        <v>6.75</v>
      </c>
      <c r="E425" s="24">
        <v>4.5599999999999996</v>
      </c>
      <c r="F425" s="24">
        <v>9.18</v>
      </c>
      <c r="G425" s="24">
        <v>3.96</v>
      </c>
      <c r="H425" s="24">
        <v>11.75</v>
      </c>
      <c r="I425" s="24">
        <v>5</v>
      </c>
      <c r="J425" s="24">
        <f t="shared" si="41"/>
        <v>41.2</v>
      </c>
      <c r="K425" s="24">
        <v>11.4</v>
      </c>
      <c r="L425" s="25">
        <f>+K425+J425</f>
        <v>52.6</v>
      </c>
    </row>
    <row r="426" spans="1:12">
      <c r="A426" s="26">
        <f t="shared" si="38"/>
        <v>24</v>
      </c>
      <c r="B426" s="45">
        <v>200942683</v>
      </c>
      <c r="C426" s="59" t="s">
        <v>341</v>
      </c>
      <c r="D426" s="24">
        <v>6.75</v>
      </c>
      <c r="E426" s="24">
        <v>9.23</v>
      </c>
      <c r="F426" s="24">
        <v>12.24</v>
      </c>
      <c r="G426" s="24">
        <v>4.62</v>
      </c>
      <c r="H426" s="24">
        <v>12</v>
      </c>
      <c r="I426" s="24">
        <v>5</v>
      </c>
      <c r="J426" s="24">
        <f t="shared" si="41"/>
        <v>49.84</v>
      </c>
      <c r="K426" s="24">
        <v>13.2</v>
      </c>
      <c r="L426" s="25">
        <f t="shared" si="39"/>
        <v>63.040000000000006</v>
      </c>
    </row>
    <row r="427" spans="1:12">
      <c r="A427" s="26">
        <f t="shared" si="38"/>
        <v>25</v>
      </c>
      <c r="B427" s="45">
        <v>200943123</v>
      </c>
      <c r="C427" s="59" t="s">
        <v>342</v>
      </c>
      <c r="D427" s="24">
        <v>0</v>
      </c>
      <c r="E427" s="24">
        <v>6.31</v>
      </c>
      <c r="F427" s="24">
        <v>7.14</v>
      </c>
      <c r="G427" s="24">
        <v>3.96</v>
      </c>
      <c r="H427" s="24">
        <v>0</v>
      </c>
      <c r="I427" s="24">
        <v>0</v>
      </c>
      <c r="J427" s="24">
        <f t="shared" si="41"/>
        <v>17.41</v>
      </c>
      <c r="K427" s="24" t="s">
        <v>475</v>
      </c>
      <c r="L427" s="25">
        <f>+J427</f>
        <v>17.41</v>
      </c>
    </row>
    <row r="428" spans="1:12">
      <c r="A428" s="26">
        <f t="shared" si="38"/>
        <v>26</v>
      </c>
      <c r="B428" s="45">
        <v>200943127</v>
      </c>
      <c r="C428" s="59" t="s">
        <v>343</v>
      </c>
      <c r="D428" s="24">
        <v>4.13</v>
      </c>
      <c r="E428" s="24">
        <v>6.2</v>
      </c>
      <c r="F428" s="24">
        <v>6.12</v>
      </c>
      <c r="G428" s="24">
        <v>4.63</v>
      </c>
      <c r="H428" s="24">
        <v>4</v>
      </c>
      <c r="I428" s="24">
        <v>5</v>
      </c>
      <c r="J428" s="24">
        <f t="shared" si="41"/>
        <v>30.08</v>
      </c>
      <c r="K428" s="24" t="s">
        <v>475</v>
      </c>
      <c r="L428" s="25">
        <f t="shared" ref="L428:L433" si="43">+J428</f>
        <v>30.08</v>
      </c>
    </row>
    <row r="429" spans="1:12">
      <c r="A429" s="26">
        <f t="shared" si="38"/>
        <v>27</v>
      </c>
      <c r="B429" s="45">
        <v>200943365</v>
      </c>
      <c r="C429" s="56" t="s">
        <v>344</v>
      </c>
      <c r="D429" s="24">
        <v>3</v>
      </c>
      <c r="E429" s="24">
        <v>6.49</v>
      </c>
      <c r="F429" s="24">
        <v>10.54</v>
      </c>
      <c r="G429" s="24">
        <v>0</v>
      </c>
      <c r="H429" s="24">
        <v>0</v>
      </c>
      <c r="I429" s="24">
        <v>0</v>
      </c>
      <c r="J429" s="24">
        <f t="shared" si="41"/>
        <v>20.03</v>
      </c>
      <c r="K429" s="24" t="s">
        <v>475</v>
      </c>
      <c r="L429" s="25">
        <f t="shared" si="43"/>
        <v>20.03</v>
      </c>
    </row>
    <row r="430" spans="1:12">
      <c r="A430" s="26">
        <f t="shared" si="38"/>
        <v>28</v>
      </c>
      <c r="B430" s="45">
        <v>200943369</v>
      </c>
      <c r="C430" s="56" t="s">
        <v>345</v>
      </c>
      <c r="D430" s="24">
        <v>1.88</v>
      </c>
      <c r="E430" s="24">
        <v>2.85</v>
      </c>
      <c r="F430" s="24">
        <v>10.4</v>
      </c>
      <c r="G430" s="24">
        <v>5.61</v>
      </c>
      <c r="H430" s="24">
        <v>9.5</v>
      </c>
      <c r="I430" s="24">
        <v>5</v>
      </c>
      <c r="J430" s="24">
        <f t="shared" si="41"/>
        <v>35.24</v>
      </c>
      <c r="K430" s="24" t="s">
        <v>475</v>
      </c>
      <c r="L430" s="25">
        <f t="shared" si="43"/>
        <v>35.24</v>
      </c>
    </row>
    <row r="431" spans="1:12">
      <c r="A431" s="26">
        <f t="shared" si="38"/>
        <v>29</v>
      </c>
      <c r="B431" s="45">
        <v>200943628</v>
      </c>
      <c r="C431" s="56" t="s">
        <v>346</v>
      </c>
      <c r="D431" s="24">
        <v>5.25</v>
      </c>
      <c r="E431" s="24">
        <v>9.34</v>
      </c>
      <c r="F431" s="24">
        <v>5.0999999999999996</v>
      </c>
      <c r="G431" s="24">
        <v>5.61</v>
      </c>
      <c r="H431" s="24">
        <v>10.25</v>
      </c>
      <c r="I431" s="24">
        <v>5</v>
      </c>
      <c r="J431" s="24">
        <f t="shared" si="41"/>
        <v>40.549999999999997</v>
      </c>
      <c r="K431" s="24" t="s">
        <v>475</v>
      </c>
      <c r="L431" s="25">
        <f t="shared" si="43"/>
        <v>40.549999999999997</v>
      </c>
    </row>
    <row r="432" spans="1:12">
      <c r="A432" s="26">
        <f t="shared" si="38"/>
        <v>30</v>
      </c>
      <c r="B432" s="45">
        <v>200943630</v>
      </c>
      <c r="C432" s="56" t="s">
        <v>347</v>
      </c>
      <c r="D432" s="24">
        <v>2.25</v>
      </c>
      <c r="E432" s="24">
        <v>0.85</v>
      </c>
      <c r="F432" s="24">
        <v>6.46</v>
      </c>
      <c r="G432" s="24">
        <v>0</v>
      </c>
      <c r="H432" s="24">
        <v>0</v>
      </c>
      <c r="I432" s="24">
        <v>0</v>
      </c>
      <c r="J432" s="24">
        <f t="shared" si="41"/>
        <v>9.5599999999999987</v>
      </c>
      <c r="K432" s="24" t="s">
        <v>475</v>
      </c>
      <c r="L432" s="25">
        <f t="shared" si="43"/>
        <v>9.5599999999999987</v>
      </c>
    </row>
    <row r="433" spans="1:12">
      <c r="A433" s="26">
        <f t="shared" si="38"/>
        <v>31</v>
      </c>
      <c r="B433" s="45">
        <v>200943634</v>
      </c>
      <c r="C433" s="56" t="s">
        <v>348</v>
      </c>
      <c r="D433" s="24">
        <v>0.375</v>
      </c>
      <c r="E433" s="24">
        <v>1.82</v>
      </c>
      <c r="F433" s="24">
        <v>3.74</v>
      </c>
      <c r="G433" s="24">
        <v>0</v>
      </c>
      <c r="H433" s="24">
        <v>0</v>
      </c>
      <c r="I433" s="24">
        <v>0</v>
      </c>
      <c r="J433" s="24">
        <f t="shared" si="41"/>
        <v>5.9350000000000005</v>
      </c>
      <c r="K433" s="24" t="s">
        <v>475</v>
      </c>
      <c r="L433" s="25">
        <f t="shared" si="43"/>
        <v>5.9350000000000005</v>
      </c>
    </row>
    <row r="434" spans="1:12">
      <c r="A434" s="26">
        <f t="shared" si="38"/>
        <v>32</v>
      </c>
      <c r="B434" s="45">
        <v>200943637</v>
      </c>
      <c r="C434" s="56" t="s">
        <v>349</v>
      </c>
      <c r="D434" s="24">
        <v>4.5</v>
      </c>
      <c r="E434" s="24">
        <v>7.52</v>
      </c>
      <c r="F434" s="24">
        <v>10.199999999999999</v>
      </c>
      <c r="G434" s="24">
        <v>7.1</v>
      </c>
      <c r="H434" s="24">
        <v>13.25</v>
      </c>
      <c r="I434" s="24">
        <v>5</v>
      </c>
      <c r="J434" s="24">
        <f t="shared" si="41"/>
        <v>47.569999999999993</v>
      </c>
      <c r="K434" s="24">
        <v>13.2</v>
      </c>
      <c r="L434" s="25">
        <f t="shared" si="39"/>
        <v>60.769999999999996</v>
      </c>
    </row>
    <row r="435" spans="1:12">
      <c r="A435" s="26">
        <f t="shared" si="38"/>
        <v>33</v>
      </c>
      <c r="B435" s="45">
        <v>200943640</v>
      </c>
      <c r="C435" s="56" t="s">
        <v>350</v>
      </c>
      <c r="D435" s="24">
        <v>0.375</v>
      </c>
      <c r="E435" s="24">
        <v>6.5</v>
      </c>
      <c r="F435" s="24">
        <v>4.76</v>
      </c>
      <c r="G435" s="24">
        <v>0</v>
      </c>
      <c r="H435" s="24">
        <v>0</v>
      </c>
      <c r="I435" s="24">
        <v>0</v>
      </c>
      <c r="J435" s="24">
        <f t="shared" si="41"/>
        <v>11.635</v>
      </c>
      <c r="K435" s="24" t="s">
        <v>475</v>
      </c>
      <c r="L435" s="25">
        <f>+J435</f>
        <v>11.635</v>
      </c>
    </row>
    <row r="436" spans="1:12">
      <c r="A436" s="26">
        <f t="shared" si="38"/>
        <v>34</v>
      </c>
      <c r="B436" s="45">
        <v>200943641</v>
      </c>
      <c r="C436" s="56" t="s">
        <v>351</v>
      </c>
      <c r="D436" s="24">
        <v>0.75</v>
      </c>
      <c r="E436" s="24">
        <v>0.56999999999999995</v>
      </c>
      <c r="F436" s="24">
        <v>4.42</v>
      </c>
      <c r="G436" s="24">
        <v>0</v>
      </c>
      <c r="H436" s="24">
        <v>0</v>
      </c>
      <c r="I436" s="24">
        <v>0</v>
      </c>
      <c r="J436" s="24">
        <f t="shared" si="41"/>
        <v>5.74</v>
      </c>
      <c r="K436" s="24" t="s">
        <v>475</v>
      </c>
      <c r="L436" s="25">
        <f t="shared" ref="L436:L442" si="44">+J436</f>
        <v>5.74</v>
      </c>
    </row>
    <row r="437" spans="1:12">
      <c r="A437" s="26">
        <f t="shared" si="38"/>
        <v>35</v>
      </c>
      <c r="B437" s="45">
        <v>200943691</v>
      </c>
      <c r="C437" s="56" t="s">
        <v>352</v>
      </c>
      <c r="D437" s="24">
        <v>3.375</v>
      </c>
      <c r="E437" s="24">
        <v>6.78</v>
      </c>
      <c r="F437" s="24">
        <v>4.42</v>
      </c>
      <c r="G437" s="24">
        <v>7.5</v>
      </c>
      <c r="H437" s="24">
        <v>7.5</v>
      </c>
      <c r="I437" s="24">
        <v>5</v>
      </c>
      <c r="J437" s="24">
        <f t="shared" si="41"/>
        <v>34.575000000000003</v>
      </c>
      <c r="K437" s="24" t="s">
        <v>475</v>
      </c>
      <c r="L437" s="25">
        <f t="shared" si="44"/>
        <v>34.575000000000003</v>
      </c>
    </row>
    <row r="438" spans="1:12">
      <c r="A438" s="26">
        <f t="shared" si="38"/>
        <v>36</v>
      </c>
      <c r="B438" s="45">
        <v>200943700</v>
      </c>
      <c r="C438" s="56" t="s">
        <v>353</v>
      </c>
      <c r="D438" s="24">
        <v>4.5</v>
      </c>
      <c r="E438" s="24">
        <v>8.77</v>
      </c>
      <c r="F438" s="24">
        <v>8.5</v>
      </c>
      <c r="G438" s="24">
        <v>4.95</v>
      </c>
      <c r="H438" s="24">
        <v>9.25</v>
      </c>
      <c r="I438" s="24">
        <v>5</v>
      </c>
      <c r="J438" s="24">
        <f t="shared" si="41"/>
        <v>40.97</v>
      </c>
      <c r="K438" s="24" t="s">
        <v>475</v>
      </c>
      <c r="L438" s="25">
        <f t="shared" si="44"/>
        <v>40.97</v>
      </c>
    </row>
    <row r="439" spans="1:12">
      <c r="A439" s="26">
        <f t="shared" si="38"/>
        <v>37</v>
      </c>
      <c r="B439" s="45">
        <v>200943737</v>
      </c>
      <c r="C439" s="56" t="s">
        <v>436</v>
      </c>
      <c r="D439" s="24">
        <v>1.5</v>
      </c>
      <c r="E439" s="24">
        <v>0</v>
      </c>
      <c r="F439" s="24">
        <v>0</v>
      </c>
      <c r="G439" s="24">
        <v>0</v>
      </c>
      <c r="H439" s="24">
        <v>0</v>
      </c>
      <c r="I439" s="24">
        <v>0</v>
      </c>
      <c r="J439" s="24">
        <f t="shared" si="41"/>
        <v>1.5</v>
      </c>
      <c r="K439" s="24" t="s">
        <v>475</v>
      </c>
      <c r="L439" s="25">
        <f t="shared" si="44"/>
        <v>1.5</v>
      </c>
    </row>
    <row r="440" spans="1:12">
      <c r="A440" s="26">
        <f t="shared" si="38"/>
        <v>38</v>
      </c>
      <c r="B440" s="45">
        <v>200943793</v>
      </c>
      <c r="C440" s="56" t="s">
        <v>354</v>
      </c>
      <c r="D440" s="24">
        <v>4.125</v>
      </c>
      <c r="E440" s="24">
        <v>3.53</v>
      </c>
      <c r="F440" s="24">
        <v>7.48</v>
      </c>
      <c r="G440" s="24">
        <v>3.64</v>
      </c>
      <c r="H440" s="24">
        <v>0</v>
      </c>
      <c r="I440" s="24">
        <v>0</v>
      </c>
      <c r="J440" s="24">
        <f t="shared" si="41"/>
        <v>18.774999999999999</v>
      </c>
      <c r="K440" s="24" t="s">
        <v>475</v>
      </c>
      <c r="L440" s="25">
        <f t="shared" si="44"/>
        <v>18.774999999999999</v>
      </c>
    </row>
    <row r="441" spans="1:12">
      <c r="A441" s="26">
        <f t="shared" si="38"/>
        <v>39</v>
      </c>
      <c r="B441" s="45">
        <v>200943840</v>
      </c>
      <c r="C441" s="56" t="s">
        <v>355</v>
      </c>
      <c r="D441" s="24">
        <v>0</v>
      </c>
      <c r="E441" s="24" t="s">
        <v>432</v>
      </c>
      <c r="F441" s="24">
        <v>9.18</v>
      </c>
      <c r="G441" s="24">
        <v>0</v>
      </c>
      <c r="H441" s="24">
        <v>0</v>
      </c>
      <c r="I441" s="24">
        <v>0</v>
      </c>
      <c r="J441" s="24">
        <f>+I441+H441+G441+F441</f>
        <v>9.18</v>
      </c>
      <c r="K441" s="24" t="s">
        <v>475</v>
      </c>
      <c r="L441" s="25">
        <f t="shared" si="44"/>
        <v>9.18</v>
      </c>
    </row>
    <row r="442" spans="1:12">
      <c r="A442" s="26">
        <f t="shared" si="38"/>
        <v>40</v>
      </c>
      <c r="B442" s="45">
        <v>200944056</v>
      </c>
      <c r="C442" s="56" t="s">
        <v>356</v>
      </c>
      <c r="D442" s="24">
        <v>3.75</v>
      </c>
      <c r="E442" s="24">
        <v>7.17</v>
      </c>
      <c r="F442" s="24">
        <v>7.48</v>
      </c>
      <c r="G442" s="24">
        <v>3.31</v>
      </c>
      <c r="H442" s="24">
        <v>7.75</v>
      </c>
      <c r="I442" s="24">
        <v>5</v>
      </c>
      <c r="J442" s="24">
        <f t="shared" si="41"/>
        <v>34.46</v>
      </c>
      <c r="K442" s="24" t="s">
        <v>475</v>
      </c>
      <c r="L442" s="25">
        <f t="shared" si="44"/>
        <v>34.46</v>
      </c>
    </row>
    <row r="443" spans="1:12">
      <c r="A443" s="26">
        <f t="shared" si="38"/>
        <v>41</v>
      </c>
      <c r="B443" s="45">
        <v>200944097</v>
      </c>
      <c r="C443" s="56" t="s">
        <v>357</v>
      </c>
      <c r="D443" s="24">
        <v>4.88</v>
      </c>
      <c r="E443" s="24">
        <v>10.48</v>
      </c>
      <c r="F443" s="24">
        <v>7.48</v>
      </c>
      <c r="G443" s="24">
        <v>4.95</v>
      </c>
      <c r="H443" s="24">
        <v>11.25</v>
      </c>
      <c r="I443" s="24">
        <v>5</v>
      </c>
      <c r="J443" s="24">
        <f t="shared" si="41"/>
        <v>44.04</v>
      </c>
      <c r="K443" s="24">
        <v>9.9</v>
      </c>
      <c r="L443" s="25">
        <f t="shared" si="39"/>
        <v>53.94</v>
      </c>
    </row>
    <row r="444" spans="1:12">
      <c r="A444" s="26">
        <f t="shared" si="38"/>
        <v>42</v>
      </c>
      <c r="B444" s="45">
        <v>200944241</v>
      </c>
      <c r="C444" s="56" t="s">
        <v>358</v>
      </c>
      <c r="D444" s="24">
        <v>9</v>
      </c>
      <c r="E444" s="24">
        <v>9.4499999999999993</v>
      </c>
      <c r="F444" s="24">
        <v>7.48</v>
      </c>
      <c r="G444" s="24">
        <v>3.3</v>
      </c>
      <c r="H444" s="24">
        <v>5.25</v>
      </c>
      <c r="I444" s="24">
        <v>5</v>
      </c>
      <c r="J444" s="24">
        <f t="shared" si="41"/>
        <v>39.480000000000004</v>
      </c>
      <c r="K444" s="24" t="s">
        <v>475</v>
      </c>
      <c r="L444" s="25">
        <f>+J444</f>
        <v>39.480000000000004</v>
      </c>
    </row>
    <row r="445" spans="1:12">
      <c r="A445" s="26">
        <f t="shared" si="38"/>
        <v>43</v>
      </c>
      <c r="B445" s="45">
        <v>200944435</v>
      </c>
      <c r="C445" s="60" t="s">
        <v>359</v>
      </c>
      <c r="D445" s="24">
        <v>5.25</v>
      </c>
      <c r="E445" s="24">
        <v>0.85</v>
      </c>
      <c r="F445" s="24">
        <v>7.14</v>
      </c>
      <c r="G445" s="24">
        <v>0</v>
      </c>
      <c r="H445" s="24">
        <v>0</v>
      </c>
      <c r="I445" s="24">
        <v>0</v>
      </c>
      <c r="J445" s="24">
        <f t="shared" si="41"/>
        <v>13.239999999999998</v>
      </c>
      <c r="K445" s="24" t="s">
        <v>475</v>
      </c>
      <c r="L445" s="25">
        <f t="shared" ref="L445:L449" si="45">+J445</f>
        <v>13.239999999999998</v>
      </c>
    </row>
    <row r="446" spans="1:12">
      <c r="A446" s="26">
        <f t="shared" si="38"/>
        <v>44</v>
      </c>
      <c r="B446" s="45">
        <v>200944452</v>
      </c>
      <c r="C446" s="56" t="s">
        <v>360</v>
      </c>
      <c r="D446" s="24">
        <v>1.88</v>
      </c>
      <c r="E446" s="24">
        <v>7.74</v>
      </c>
      <c r="F446" s="24">
        <v>4.08</v>
      </c>
      <c r="G446" s="24">
        <v>1.32</v>
      </c>
      <c r="H446" s="24">
        <v>8.5</v>
      </c>
      <c r="I446" s="24">
        <v>5</v>
      </c>
      <c r="J446" s="24">
        <f t="shared" si="41"/>
        <v>28.52</v>
      </c>
      <c r="K446" s="24" t="s">
        <v>475</v>
      </c>
      <c r="L446" s="25">
        <f t="shared" si="45"/>
        <v>28.52</v>
      </c>
    </row>
    <row r="447" spans="1:12">
      <c r="A447" s="26">
        <f t="shared" si="38"/>
        <v>45</v>
      </c>
      <c r="B447" s="45">
        <v>200944938</v>
      </c>
      <c r="C447" s="60" t="s">
        <v>361</v>
      </c>
      <c r="D447" s="24">
        <v>2.63</v>
      </c>
      <c r="E447" s="24">
        <v>2.85</v>
      </c>
      <c r="F447" s="24">
        <v>9.52</v>
      </c>
      <c r="G447" s="24">
        <v>3.63</v>
      </c>
      <c r="H447" s="24">
        <v>0</v>
      </c>
      <c r="I447" s="24">
        <v>0</v>
      </c>
      <c r="J447" s="24">
        <f t="shared" si="41"/>
        <v>18.63</v>
      </c>
      <c r="K447" s="24" t="s">
        <v>475</v>
      </c>
      <c r="L447" s="25">
        <f t="shared" si="45"/>
        <v>18.63</v>
      </c>
    </row>
    <row r="448" spans="1:12">
      <c r="A448" s="26">
        <f t="shared" si="38"/>
        <v>46</v>
      </c>
      <c r="B448" s="45">
        <v>200944985</v>
      </c>
      <c r="C448" s="60" t="s">
        <v>362</v>
      </c>
      <c r="D448" s="24">
        <v>1.5</v>
      </c>
      <c r="E448" s="24">
        <v>4.0999999999999996</v>
      </c>
      <c r="F448" s="24">
        <v>7.78</v>
      </c>
      <c r="G448" s="24">
        <v>4.95</v>
      </c>
      <c r="H448" s="24">
        <v>1.25</v>
      </c>
      <c r="I448" s="24">
        <v>5</v>
      </c>
      <c r="J448" s="24">
        <f t="shared" si="41"/>
        <v>24.58</v>
      </c>
      <c r="K448" s="24" t="s">
        <v>475</v>
      </c>
      <c r="L448" s="25">
        <f t="shared" si="45"/>
        <v>24.58</v>
      </c>
    </row>
    <row r="449" spans="1:12">
      <c r="A449" s="26">
        <f t="shared" si="38"/>
        <v>47</v>
      </c>
      <c r="B449" s="45">
        <v>200946113</v>
      </c>
      <c r="C449" s="56" t="s">
        <v>363</v>
      </c>
      <c r="D449" s="24">
        <v>0.375</v>
      </c>
      <c r="E449" s="24">
        <v>7.63</v>
      </c>
      <c r="F449" s="24">
        <v>6.46</v>
      </c>
      <c r="G449" s="24">
        <v>4.62</v>
      </c>
      <c r="H449" s="24">
        <v>9.25</v>
      </c>
      <c r="I449" s="24">
        <v>5</v>
      </c>
      <c r="J449" s="24">
        <f t="shared" si="41"/>
        <v>33.335000000000001</v>
      </c>
      <c r="K449" s="24" t="s">
        <v>475</v>
      </c>
      <c r="L449" s="25">
        <f t="shared" si="45"/>
        <v>33.335000000000001</v>
      </c>
    </row>
    <row r="450" spans="1:12">
      <c r="A450" s="29"/>
      <c r="B450" s="29"/>
      <c r="C450" s="30"/>
      <c r="D450" s="31"/>
      <c r="E450" s="31"/>
      <c r="F450" s="31"/>
      <c r="G450" s="31"/>
      <c r="H450" s="31"/>
      <c r="I450" s="31"/>
      <c r="J450" s="31"/>
      <c r="K450" s="31"/>
      <c r="L450" s="32"/>
    </row>
    <row r="451" spans="1:12">
      <c r="A451" s="29"/>
      <c r="B451" s="29"/>
      <c r="C451" s="30"/>
      <c r="D451" s="31"/>
      <c r="E451" s="31"/>
      <c r="F451" s="31"/>
      <c r="G451" s="31"/>
      <c r="H451" s="31"/>
      <c r="I451" s="31"/>
      <c r="J451" s="31"/>
      <c r="K451" s="31"/>
      <c r="L451" s="32"/>
    </row>
    <row r="452" spans="1:12" ht="17.25" thickBot="1">
      <c r="A452" s="33"/>
      <c r="B452" s="33"/>
      <c r="C452" s="34"/>
      <c r="D452" s="31"/>
      <c r="E452" s="31"/>
      <c r="F452" s="31"/>
      <c r="G452" s="31"/>
      <c r="H452" s="35"/>
      <c r="I452" s="35"/>
      <c r="J452" s="35"/>
      <c r="K452" s="9"/>
      <c r="L452" s="32"/>
    </row>
    <row r="453" spans="1:12">
      <c r="H453" s="100" t="s">
        <v>473</v>
      </c>
      <c r="I453" s="100"/>
      <c r="J453" s="100"/>
      <c r="L453" s="1"/>
    </row>
    <row r="454" spans="1:12">
      <c r="D454" s="36"/>
      <c r="H454" s="100" t="s">
        <v>21</v>
      </c>
      <c r="I454" s="100"/>
      <c r="J454" s="100"/>
      <c r="L454" s="1"/>
    </row>
    <row r="455" spans="1:12">
      <c r="D455" s="36"/>
      <c r="H455" s="100" t="s">
        <v>471</v>
      </c>
      <c r="I455" s="100"/>
      <c r="J455" s="100"/>
      <c r="L455" s="1"/>
    </row>
  </sheetData>
  <mergeCells count="18">
    <mergeCell ref="H453:J453"/>
    <mergeCell ref="H454:J454"/>
    <mergeCell ref="H64:J64"/>
    <mergeCell ref="H65:J65"/>
    <mergeCell ref="H66:J66"/>
    <mergeCell ref="H455:J455"/>
    <mergeCell ref="H147:J147"/>
    <mergeCell ref="H148:J148"/>
    <mergeCell ref="H149:J149"/>
    <mergeCell ref="H226:J226"/>
    <mergeCell ref="H227:J227"/>
    <mergeCell ref="H228:J228"/>
    <mergeCell ref="H305:J305"/>
    <mergeCell ref="H306:J306"/>
    <mergeCell ref="H307:J307"/>
    <mergeCell ref="H372:J372"/>
    <mergeCell ref="H373:J373"/>
    <mergeCell ref="H374:J374"/>
  </mergeCells>
  <pageMargins left="0.36" right="0.16" top="0.74803149606299213" bottom="0.74803149606299213" header="0.31496062992125984" footer="0.31496062992125984"/>
  <pageSetup scale="8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BIOLOGÍA</vt:lpstr>
      <vt:lpstr>FÍSICA</vt:lpstr>
      <vt:lpstr>QUÍMICA</vt:lpstr>
      <vt:lpstr>BIOESTADISTICA</vt:lpstr>
      <vt:lpstr>CIENCIAS CLÍNICAS I</vt:lpstr>
      <vt:lpstr>CONDUCTA COLECTIVA</vt:lpstr>
      <vt:lpstr>CONDUCTA INDIVIDUAL</vt:lpstr>
    </vt:vector>
  </TitlesOfParts>
  <Company>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Angelical V5</dc:creator>
  <cp:lastModifiedBy>Angelical V5</cp:lastModifiedBy>
  <cp:lastPrinted>2009-11-24T20:32:26Z</cp:lastPrinted>
  <dcterms:created xsi:type="dcterms:W3CDTF">2009-07-28T23:08:17Z</dcterms:created>
  <dcterms:modified xsi:type="dcterms:W3CDTF">2009-11-25T22:08:22Z</dcterms:modified>
</cp:coreProperties>
</file>